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1\01\на сайт\"/>
    </mc:Choice>
  </mc:AlternateContent>
  <xr:revisionPtr revIDLastSave="0" documentId="13_ncr:1_{D4AF6531-3FB6-4B51-A840-953803063057}" xr6:coauthVersionLast="46" xr6:coauthVersionMax="46" xr10:uidLastSave="{00000000-0000-0000-0000-000000000000}"/>
  <bookViews>
    <workbookView xWindow="390" yWindow="390" windowWidth="18420" windowHeight="12765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7" state="hidden" r:id="rId6"/>
    <sheet name="2019" sheetId="8" state="hidden" r:id="rId7"/>
    <sheet name="2019 кор авг-дек от дек" sheetId="9" state="hidden" r:id="rId8"/>
    <sheet name="2021" sheetId="10" r:id="rId9"/>
  </sheets>
  <externalReferences>
    <externalReference r:id="rId10"/>
    <externalReference r:id="rId11"/>
    <externalReference r:id="rId12"/>
    <externalReference r:id="rId13"/>
  </externalReferences>
  <calcPr calcId="181029"/>
</workbook>
</file>

<file path=xl/calcChain.xml><?xml version="1.0" encoding="utf-8"?>
<calcChain xmlns="http://schemas.openxmlformats.org/spreadsheetml/2006/main">
  <c r="C30" i="10" l="1"/>
  <c r="C36" i="10"/>
  <c r="C35" i="10"/>
  <c r="C33" i="10"/>
  <c r="C32" i="10"/>
  <c r="C23" i="10"/>
  <c r="C22" i="10"/>
  <c r="C17" i="10" l="1"/>
  <c r="C37" i="10" l="1"/>
  <c r="C14" i="10" l="1"/>
  <c r="C11" i="10" l="1"/>
  <c r="C27" i="10" l="1"/>
  <c r="C28" i="10"/>
  <c r="C15" i="10"/>
  <c r="C12" i="10"/>
  <c r="C9" i="10"/>
  <c r="C7" i="10"/>
  <c r="O16" i="10"/>
  <c r="C21" i="10" l="1"/>
  <c r="C34" i="10"/>
  <c r="C31" i="10"/>
  <c r="C8" i="10"/>
  <c r="C6" i="10" s="1"/>
  <c r="O17" i="10"/>
  <c r="O15" i="10" s="1"/>
  <c r="C26" i="10"/>
  <c r="C25" i="10" s="1"/>
  <c r="O11" i="10"/>
  <c r="C20" i="10" l="1"/>
  <c r="C19" i="10" s="1"/>
  <c r="C38" i="10" s="1"/>
  <c r="C5" i="10"/>
  <c r="C39" i="10" l="1"/>
  <c r="O37" i="10"/>
  <c r="O36" i="10"/>
  <c r="O35" i="10"/>
  <c r="O33" i="10"/>
  <c r="O32" i="10"/>
  <c r="O30" i="10"/>
  <c r="O29" i="10"/>
  <c r="O27" i="10"/>
  <c r="O26" i="10"/>
  <c r="O24" i="10"/>
  <c r="O23" i="10"/>
  <c r="O22" i="10"/>
  <c r="O14" i="10"/>
  <c r="O13" i="10"/>
  <c r="O10" i="10"/>
  <c r="O9" i="10" s="1"/>
  <c r="O28" i="10" l="1"/>
  <c r="O12" i="10"/>
  <c r="O34" i="10"/>
  <c r="O31" i="10"/>
  <c r="O25" i="10"/>
  <c r="O8" i="10"/>
  <c r="O7" i="10"/>
  <c r="O21" i="10"/>
  <c r="N34" i="9"/>
  <c r="N20" i="9"/>
  <c r="N19" i="9"/>
  <c r="N8" i="9"/>
  <c r="N9" i="9"/>
  <c r="N12" i="9"/>
  <c r="N18" i="9"/>
  <c r="N23" i="9"/>
  <c r="N22" i="9" s="1"/>
  <c r="N24" i="9"/>
  <c r="N25" i="9"/>
  <c r="N28" i="9"/>
  <c r="N31" i="9"/>
  <c r="N7" i="9"/>
  <c r="M34" i="9"/>
  <c r="M20" i="9"/>
  <c r="M19" i="9"/>
  <c r="M18" i="9" s="1"/>
  <c r="M31" i="9"/>
  <c r="M28" i="9"/>
  <c r="M25" i="9"/>
  <c r="M24" i="9"/>
  <c r="M23" i="9"/>
  <c r="M12" i="9"/>
  <c r="M9" i="9"/>
  <c r="M8" i="9"/>
  <c r="M7" i="9"/>
  <c r="M6" i="9"/>
  <c r="M5" i="9" s="1"/>
  <c r="L34" i="9"/>
  <c r="L25" i="9"/>
  <c r="L20" i="9"/>
  <c r="L19" i="9"/>
  <c r="L18" i="9" s="1"/>
  <c r="L31" i="9"/>
  <c r="L28" i="9"/>
  <c r="L24" i="9"/>
  <c r="L22" i="9" s="1"/>
  <c r="L23" i="9"/>
  <c r="L12" i="9"/>
  <c r="L9" i="9"/>
  <c r="L8" i="9"/>
  <c r="L7" i="9"/>
  <c r="K19" i="9"/>
  <c r="K34" i="9"/>
  <c r="K31" i="9"/>
  <c r="K20" i="9"/>
  <c r="J34" i="9"/>
  <c r="I34" i="9"/>
  <c r="H34" i="9"/>
  <c r="G34" i="9"/>
  <c r="F34" i="9"/>
  <c r="E34" i="9"/>
  <c r="D34" i="9"/>
  <c r="C34" i="9"/>
  <c r="O33" i="9"/>
  <c r="O32" i="9"/>
  <c r="J31" i="9"/>
  <c r="I31" i="9"/>
  <c r="H31" i="9"/>
  <c r="G31" i="9"/>
  <c r="F31" i="9"/>
  <c r="E31" i="9"/>
  <c r="D31" i="9"/>
  <c r="C31" i="9"/>
  <c r="O30" i="9"/>
  <c r="O29" i="9"/>
  <c r="K28" i="9"/>
  <c r="J28" i="9"/>
  <c r="I28" i="9"/>
  <c r="H28" i="9"/>
  <c r="G28" i="9"/>
  <c r="F28" i="9"/>
  <c r="E28" i="9"/>
  <c r="D28" i="9"/>
  <c r="C28" i="9"/>
  <c r="O27" i="9"/>
  <c r="O26" i="9"/>
  <c r="K25" i="9"/>
  <c r="J25" i="9"/>
  <c r="I25" i="9"/>
  <c r="H25" i="9"/>
  <c r="G25" i="9"/>
  <c r="F25" i="9"/>
  <c r="E25" i="9"/>
  <c r="D25" i="9"/>
  <c r="C25" i="9"/>
  <c r="K24" i="9"/>
  <c r="J24" i="9"/>
  <c r="I24" i="9"/>
  <c r="H24" i="9"/>
  <c r="G24" i="9"/>
  <c r="F24" i="9"/>
  <c r="E24" i="9"/>
  <c r="D24" i="9"/>
  <c r="C24" i="9"/>
  <c r="K23" i="9"/>
  <c r="J23" i="9"/>
  <c r="I23" i="9"/>
  <c r="H23" i="9"/>
  <c r="G23" i="9"/>
  <c r="G22" i="9" s="1"/>
  <c r="F23" i="9"/>
  <c r="E23" i="9"/>
  <c r="D23" i="9"/>
  <c r="C23" i="9"/>
  <c r="C22" i="9" s="1"/>
  <c r="I22" i="9"/>
  <c r="H22" i="9"/>
  <c r="E22" i="9"/>
  <c r="D22" i="9"/>
  <c r="O21" i="9"/>
  <c r="J20" i="9"/>
  <c r="I20" i="9"/>
  <c r="H20" i="9"/>
  <c r="H18" i="9" s="1"/>
  <c r="H17" i="9" s="1"/>
  <c r="H16" i="9" s="1"/>
  <c r="G20" i="9"/>
  <c r="F20" i="9"/>
  <c r="E20" i="9"/>
  <c r="D20" i="9"/>
  <c r="C20" i="9"/>
  <c r="J19" i="9"/>
  <c r="I19" i="9"/>
  <c r="I18" i="9" s="1"/>
  <c r="H19" i="9"/>
  <c r="G19" i="9"/>
  <c r="G18" i="9" s="1"/>
  <c r="G17" i="9" s="1"/>
  <c r="G16" i="9" s="1"/>
  <c r="F19" i="9"/>
  <c r="E19" i="9"/>
  <c r="E18" i="9" s="1"/>
  <c r="D19" i="9"/>
  <c r="C19" i="9"/>
  <c r="C18" i="9"/>
  <c r="O14" i="9"/>
  <c r="O13" i="9"/>
  <c r="K12" i="9"/>
  <c r="J12" i="9"/>
  <c r="I12" i="9"/>
  <c r="H12" i="9"/>
  <c r="G12" i="9"/>
  <c r="F12" i="9"/>
  <c r="E12" i="9"/>
  <c r="D12" i="9"/>
  <c r="C12" i="9"/>
  <c r="O11" i="9"/>
  <c r="O10" i="9"/>
  <c r="K9" i="9"/>
  <c r="J9" i="9"/>
  <c r="I9" i="9"/>
  <c r="H9" i="9"/>
  <c r="G9" i="9"/>
  <c r="F9" i="9"/>
  <c r="E9" i="9"/>
  <c r="D9" i="9"/>
  <c r="C9" i="9"/>
  <c r="K8" i="9"/>
  <c r="J8" i="9"/>
  <c r="I8" i="9"/>
  <c r="I6" i="9" s="1"/>
  <c r="H8" i="9"/>
  <c r="G8" i="9"/>
  <c r="F8" i="9"/>
  <c r="E8" i="9"/>
  <c r="D8" i="9"/>
  <c r="C8" i="9"/>
  <c r="K7" i="9"/>
  <c r="K6" i="9" s="1"/>
  <c r="J7" i="9"/>
  <c r="J6" i="9" s="1"/>
  <c r="J5" i="9" s="1"/>
  <c r="I7" i="9"/>
  <c r="H7" i="9"/>
  <c r="G7" i="9"/>
  <c r="G6" i="9" s="1"/>
  <c r="F7" i="9"/>
  <c r="F6" i="9" s="1"/>
  <c r="F5" i="9" s="1"/>
  <c r="E7" i="9"/>
  <c r="D7" i="9"/>
  <c r="C7" i="9"/>
  <c r="C6" i="9" s="1"/>
  <c r="H6" i="9"/>
  <c r="E6" i="9"/>
  <c r="D6" i="9"/>
  <c r="H5" i="9"/>
  <c r="D5" i="9"/>
  <c r="J20" i="8"/>
  <c r="J19" i="8"/>
  <c r="J34" i="8"/>
  <c r="J12" i="8"/>
  <c r="J9" i="8"/>
  <c r="O6" i="10" l="1"/>
  <c r="O5" i="10" s="1"/>
  <c r="F22" i="9"/>
  <c r="J22" i="9"/>
  <c r="J17" i="9" s="1"/>
  <c r="J16" i="9" s="1"/>
  <c r="J35" i="9" s="1"/>
  <c r="J36" i="9" s="1"/>
  <c r="C17" i="9"/>
  <c r="C16" i="9" s="1"/>
  <c r="E17" i="9"/>
  <c r="E16" i="9" s="1"/>
  <c r="I17" i="9"/>
  <c r="I16" i="9" s="1"/>
  <c r="I35" i="9" s="1"/>
  <c r="K18" i="9"/>
  <c r="H35" i="9"/>
  <c r="H36" i="9" s="1"/>
  <c r="F18" i="9"/>
  <c r="J18" i="9"/>
  <c r="L6" i="9"/>
  <c r="L5" i="9" s="1"/>
  <c r="O20" i="10"/>
  <c r="O19" i="10" s="1"/>
  <c r="N17" i="9"/>
  <c r="N16" i="9" s="1"/>
  <c r="N6" i="9"/>
  <c r="O9" i="9"/>
  <c r="M22" i="9"/>
  <c r="M17" i="9"/>
  <c r="M16" i="9" s="1"/>
  <c r="M35" i="9" s="1"/>
  <c r="M36" i="9" s="1"/>
  <c r="O24" i="9"/>
  <c r="O28" i="9"/>
  <c r="O34" i="9"/>
  <c r="L17" i="9"/>
  <c r="L16" i="9" s="1"/>
  <c r="L35" i="9" s="1"/>
  <c r="O19" i="9"/>
  <c r="O12" i="9"/>
  <c r="O25" i="9"/>
  <c r="O8" i="9"/>
  <c r="O31" i="9"/>
  <c r="K22" i="9"/>
  <c r="E35" i="9"/>
  <c r="F17" i="9"/>
  <c r="F16" i="9" s="1"/>
  <c r="F35" i="9" s="1"/>
  <c r="F36" i="9" s="1"/>
  <c r="C5" i="9"/>
  <c r="C35" i="9"/>
  <c r="G35" i="9"/>
  <c r="G5" i="9"/>
  <c r="K5" i="9"/>
  <c r="O7" i="9"/>
  <c r="D18" i="9"/>
  <c r="D17" i="9" s="1"/>
  <c r="D16" i="9" s="1"/>
  <c r="D35" i="9" s="1"/>
  <c r="D36" i="9" s="1"/>
  <c r="O23" i="9"/>
  <c r="I5" i="9"/>
  <c r="E5" i="9"/>
  <c r="K20" i="8"/>
  <c r="K18" i="8" s="1"/>
  <c r="K31" i="8"/>
  <c r="K28" i="8"/>
  <c r="K25" i="8"/>
  <c r="K24" i="8"/>
  <c r="K23" i="8"/>
  <c r="K12" i="8"/>
  <c r="K9" i="8"/>
  <c r="K8" i="8"/>
  <c r="K7" i="8"/>
  <c r="J18" i="8"/>
  <c r="J31" i="8"/>
  <c r="J28" i="8"/>
  <c r="J25" i="8"/>
  <c r="J24" i="8"/>
  <c r="J23" i="8"/>
  <c r="J8" i="8"/>
  <c r="J7" i="8"/>
  <c r="J6" i="8" s="1"/>
  <c r="O38" i="10" l="1"/>
  <c r="C36" i="9"/>
  <c r="N35" i="9"/>
  <c r="I36" i="9"/>
  <c r="K17" i="9"/>
  <c r="K16" i="9" s="1"/>
  <c r="K35" i="9" s="1"/>
  <c r="K6" i="8"/>
  <c r="G36" i="9"/>
  <c r="N5" i="9"/>
  <c r="N36" i="9" s="1"/>
  <c r="O20" i="9"/>
  <c r="O18" i="9" s="1"/>
  <c r="O6" i="9"/>
  <c r="O5" i="9" s="1"/>
  <c r="O22" i="9"/>
  <c r="L36" i="9"/>
  <c r="K36" i="9"/>
  <c r="E36" i="9"/>
  <c r="K22" i="8"/>
  <c r="K17" i="8" s="1"/>
  <c r="K16" i="8" s="1"/>
  <c r="K35" i="8" s="1"/>
  <c r="K5" i="8"/>
  <c r="J22" i="8"/>
  <c r="J17" i="8" s="1"/>
  <c r="J16" i="8" s="1"/>
  <c r="J35" i="8" s="1"/>
  <c r="J5" i="8"/>
  <c r="I34" i="8"/>
  <c r="I20" i="8"/>
  <c r="I19" i="8"/>
  <c r="I18" i="8" s="1"/>
  <c r="I31" i="8"/>
  <c r="I28" i="8"/>
  <c r="I25" i="8"/>
  <c r="I24" i="8"/>
  <c r="I23" i="8"/>
  <c r="I12" i="8"/>
  <c r="I9" i="8"/>
  <c r="I8" i="8"/>
  <c r="I7" i="8"/>
  <c r="O17" i="9" l="1"/>
  <c r="O16" i="9" s="1"/>
  <c r="O35" i="9" s="1"/>
  <c r="I6" i="8"/>
  <c r="K36" i="8"/>
  <c r="J36" i="8"/>
  <c r="I22" i="8"/>
  <c r="I17" i="8" s="1"/>
  <c r="I16" i="8" s="1"/>
  <c r="I5" i="8"/>
  <c r="H20" i="8"/>
  <c r="H19" i="8"/>
  <c r="H34" i="8"/>
  <c r="H12" i="8"/>
  <c r="H31" i="8"/>
  <c r="H28" i="8"/>
  <c r="H25" i="8"/>
  <c r="H24" i="8"/>
  <c r="H23" i="8"/>
  <c r="H22" i="8" s="1"/>
  <c r="H18" i="8"/>
  <c r="H9" i="8"/>
  <c r="H8" i="8"/>
  <c r="H7" i="8"/>
  <c r="H6" i="8" s="1"/>
  <c r="I35" i="8" l="1"/>
  <c r="I36" i="8" s="1"/>
  <c r="H17" i="8"/>
  <c r="H16" i="8" s="1"/>
  <c r="H35" i="8" s="1"/>
  <c r="H5" i="8"/>
  <c r="G34" i="8"/>
  <c r="G25" i="8"/>
  <c r="G20" i="8"/>
  <c r="G19" i="8"/>
  <c r="G31" i="8"/>
  <c r="G28" i="8"/>
  <c r="G24" i="8"/>
  <c r="G23" i="8"/>
  <c r="G18" i="8"/>
  <c r="G12" i="8"/>
  <c r="G9" i="8"/>
  <c r="G8" i="8"/>
  <c r="G7" i="8"/>
  <c r="F34" i="8"/>
  <c r="F20" i="8"/>
  <c r="F19" i="8"/>
  <c r="F18" i="8" s="1"/>
  <c r="F31" i="8"/>
  <c r="F28" i="8"/>
  <c r="F25" i="8"/>
  <c r="F24" i="8"/>
  <c r="F23" i="8"/>
  <c r="F12" i="8"/>
  <c r="F9" i="8"/>
  <c r="F8" i="8"/>
  <c r="F7" i="8"/>
  <c r="F6" i="8" l="1"/>
  <c r="F5" i="8" s="1"/>
  <c r="F22" i="8"/>
  <c r="G6" i="8"/>
  <c r="G22" i="8"/>
  <c r="G17" i="8" s="1"/>
  <c r="G16" i="8" s="1"/>
  <c r="H36" i="8"/>
  <c r="F17" i="8"/>
  <c r="F16" i="8" s="1"/>
  <c r="F35" i="8" s="1"/>
  <c r="F36" i="8" s="1"/>
  <c r="E34" i="8"/>
  <c r="E20" i="8"/>
  <c r="E19" i="8"/>
  <c r="E31" i="8"/>
  <c r="E28" i="8"/>
  <c r="E25" i="8"/>
  <c r="E24" i="8"/>
  <c r="E23" i="8"/>
  <c r="E12" i="8"/>
  <c r="E9" i="8"/>
  <c r="E8" i="8"/>
  <c r="E7" i="8"/>
  <c r="G35" i="8" l="1"/>
  <c r="G5" i="8"/>
  <c r="G36" i="8" s="1"/>
  <c r="E6" i="8"/>
  <c r="E5" i="8" s="1"/>
  <c r="E18" i="8"/>
  <c r="E17" i="8" s="1"/>
  <c r="E16" i="8" s="1"/>
  <c r="E35" i="8" s="1"/>
  <c r="E36" i="8" s="1"/>
  <c r="E22" i="8"/>
  <c r="D34" i="8"/>
  <c r="D20" i="8"/>
  <c r="D19" i="8"/>
  <c r="D31" i="8"/>
  <c r="D28" i="8"/>
  <c r="D25" i="8"/>
  <c r="D24" i="8"/>
  <c r="D23" i="8"/>
  <c r="D12" i="8"/>
  <c r="D9" i="8"/>
  <c r="D8" i="8"/>
  <c r="D7" i="8"/>
  <c r="C28" i="8"/>
  <c r="C34" i="8"/>
  <c r="C20" i="8"/>
  <c r="C19" i="8"/>
  <c r="D6" i="8" l="1"/>
  <c r="D5" i="8" s="1"/>
  <c r="D22" i="8"/>
  <c r="D18" i="8"/>
  <c r="D17" i="8" s="1"/>
  <c r="D16" i="8" s="1"/>
  <c r="D35" i="8" s="1"/>
  <c r="D36" i="8" l="1"/>
  <c r="C31" i="8" l="1"/>
  <c r="C25" i="8"/>
  <c r="C24" i="8"/>
  <c r="O24" i="8" s="1"/>
  <c r="C23" i="8"/>
  <c r="C22" i="8" s="1"/>
  <c r="C18" i="8"/>
  <c r="O34" i="8"/>
  <c r="O33" i="8"/>
  <c r="O32" i="8"/>
  <c r="O30" i="8"/>
  <c r="O29" i="8"/>
  <c r="O27" i="8"/>
  <c r="O26" i="8"/>
  <c r="O21" i="8"/>
  <c r="O20" i="8"/>
  <c r="O14" i="8"/>
  <c r="O13" i="8"/>
  <c r="C12" i="8"/>
  <c r="O11" i="8"/>
  <c r="O10" i="8"/>
  <c r="O7" i="8" s="1"/>
  <c r="C9" i="8"/>
  <c r="C8" i="8"/>
  <c r="C7" i="8"/>
  <c r="O12" i="8" l="1"/>
  <c r="C6" i="8"/>
  <c r="C5" i="8" s="1"/>
  <c r="C17" i="8"/>
  <c r="C16" i="8" s="1"/>
  <c r="O28" i="8"/>
  <c r="O8" i="8"/>
  <c r="O6" i="8" s="1"/>
  <c r="O5" i="8" s="1"/>
  <c r="O23" i="8"/>
  <c r="O22" i="8" s="1"/>
  <c r="O19" i="8"/>
  <c r="O18" i="8" s="1"/>
  <c r="O25" i="8"/>
  <c r="O9" i="8"/>
  <c r="O31" i="8"/>
  <c r="N34" i="7"/>
  <c r="N19" i="7"/>
  <c r="N18" i="7" s="1"/>
  <c r="N8" i="7"/>
  <c r="N6" i="7" s="1"/>
  <c r="N9" i="7"/>
  <c r="N12" i="7"/>
  <c r="N23" i="7"/>
  <c r="N22" i="7" s="1"/>
  <c r="N24" i="7"/>
  <c r="N25" i="7"/>
  <c r="N28" i="7"/>
  <c r="N31" i="7"/>
  <c r="M19" i="7"/>
  <c r="M34" i="7"/>
  <c r="M33" i="7"/>
  <c r="M24" i="7" s="1"/>
  <c r="M23" i="7"/>
  <c r="M18" i="7"/>
  <c r="M28" i="7"/>
  <c r="M25" i="7"/>
  <c r="M12" i="7"/>
  <c r="M9" i="7"/>
  <c r="M8" i="7"/>
  <c r="M6" i="7" s="1"/>
  <c r="M5" i="7" s="1"/>
  <c r="L19" i="7"/>
  <c r="L18" i="7" s="1"/>
  <c r="L31" i="7"/>
  <c r="L28" i="7"/>
  <c r="L25" i="7"/>
  <c r="L24" i="7"/>
  <c r="L23" i="7"/>
  <c r="L22" i="7" s="1"/>
  <c r="L12" i="7"/>
  <c r="L9" i="7"/>
  <c r="L8" i="7"/>
  <c r="L6" i="7" s="1"/>
  <c r="K25" i="7"/>
  <c r="K24" i="7"/>
  <c r="K22" i="7" s="1"/>
  <c r="K23" i="7"/>
  <c r="K19" i="7"/>
  <c r="K8" i="7"/>
  <c r="K6" i="7" s="1"/>
  <c r="K5" i="7" s="1"/>
  <c r="K9" i="7"/>
  <c r="K12" i="7"/>
  <c r="K18" i="7"/>
  <c r="K28" i="7"/>
  <c r="K31" i="7"/>
  <c r="J19" i="7"/>
  <c r="J18" i="7" s="1"/>
  <c r="J34" i="7"/>
  <c r="I19" i="7"/>
  <c r="H19" i="7"/>
  <c r="H18" i="7" s="1"/>
  <c r="I34" i="7"/>
  <c r="H34" i="7"/>
  <c r="G19" i="7"/>
  <c r="G34" i="7"/>
  <c r="F19" i="7"/>
  <c r="F18" i="7" s="1"/>
  <c r="F34" i="7"/>
  <c r="E19" i="7"/>
  <c r="E34" i="7"/>
  <c r="D19" i="7"/>
  <c r="D18" i="7" s="1"/>
  <c r="D34" i="7"/>
  <c r="C19" i="7"/>
  <c r="C23" i="7"/>
  <c r="C34" i="7"/>
  <c r="J23" i="7"/>
  <c r="J24" i="7"/>
  <c r="J8" i="7"/>
  <c r="I23" i="7"/>
  <c r="I24" i="7"/>
  <c r="I8" i="7"/>
  <c r="D45" i="4"/>
  <c r="E45" i="4"/>
  <c r="F45" i="4"/>
  <c r="G45" i="4"/>
  <c r="H45" i="4"/>
  <c r="I45" i="4"/>
  <c r="J45" i="4"/>
  <c r="K45" i="4"/>
  <c r="L45" i="4"/>
  <c r="M45" i="4"/>
  <c r="N45" i="4"/>
  <c r="C45" i="4"/>
  <c r="H23" i="7"/>
  <c r="H24" i="7"/>
  <c r="H12" i="7"/>
  <c r="H8" i="7"/>
  <c r="H6" i="7"/>
  <c r="H5" i="7" s="1"/>
  <c r="G24" i="7"/>
  <c r="G21" i="7"/>
  <c r="G18" i="7"/>
  <c r="G23" i="7"/>
  <c r="G8" i="7"/>
  <c r="G6" i="7" s="1"/>
  <c r="G12" i="7"/>
  <c r="G22" i="7"/>
  <c r="E24" i="7"/>
  <c r="F24" i="7"/>
  <c r="F23" i="7"/>
  <c r="F22" i="7"/>
  <c r="F8" i="7"/>
  <c r="F12" i="7"/>
  <c r="E23" i="7"/>
  <c r="E12" i="7"/>
  <c r="E8" i="7"/>
  <c r="E9" i="7"/>
  <c r="N26" i="5"/>
  <c r="O19" i="5"/>
  <c r="C18" i="2"/>
  <c r="J17" i="1"/>
  <c r="K17" i="1"/>
  <c r="L22" i="1"/>
  <c r="L6" i="1"/>
  <c r="L7" i="1"/>
  <c r="L8" i="1"/>
  <c r="L9" i="1"/>
  <c r="L10" i="1"/>
  <c r="L11" i="1"/>
  <c r="L14" i="1"/>
  <c r="L15" i="1"/>
  <c r="L16" i="1"/>
  <c r="L18" i="1"/>
  <c r="L19" i="1"/>
  <c r="L20" i="1"/>
  <c r="L21" i="1"/>
  <c r="L23" i="1"/>
  <c r="L24" i="1"/>
  <c r="L25" i="1"/>
  <c r="L26" i="1"/>
  <c r="L27" i="1"/>
  <c r="L28" i="1"/>
  <c r="L29" i="1"/>
  <c r="D33" i="7"/>
  <c r="D24" i="7" s="1"/>
  <c r="E18" i="7"/>
  <c r="I18" i="7"/>
  <c r="D23" i="7"/>
  <c r="D12" i="7"/>
  <c r="D8" i="7"/>
  <c r="C18" i="7"/>
  <c r="C24" i="7"/>
  <c r="C22" i="7"/>
  <c r="C17" i="7" s="1"/>
  <c r="C16" i="7" s="1"/>
  <c r="C12" i="7"/>
  <c r="C8" i="7"/>
  <c r="O34" i="7"/>
  <c r="O33" i="7"/>
  <c r="O32" i="7"/>
  <c r="J31" i="7"/>
  <c r="I31" i="7"/>
  <c r="H31" i="7"/>
  <c r="G31" i="7"/>
  <c r="F31" i="7"/>
  <c r="E31" i="7"/>
  <c r="D31" i="7"/>
  <c r="C31" i="7"/>
  <c r="O30" i="7"/>
  <c r="O29" i="7"/>
  <c r="O28" i="7" s="1"/>
  <c r="J28" i="7"/>
  <c r="I28" i="7"/>
  <c r="H28" i="7"/>
  <c r="G28" i="7"/>
  <c r="F28" i="7"/>
  <c r="E28" i="7"/>
  <c r="D28" i="7"/>
  <c r="C28" i="7"/>
  <c r="O27" i="7"/>
  <c r="I25" i="7"/>
  <c r="G25" i="7"/>
  <c r="E25" i="7"/>
  <c r="O26" i="7"/>
  <c r="J25" i="7"/>
  <c r="H25" i="7"/>
  <c r="F25" i="7"/>
  <c r="D25" i="7"/>
  <c r="J22" i="7"/>
  <c r="H22" i="7"/>
  <c r="O23" i="7"/>
  <c r="O21" i="7"/>
  <c r="O20" i="7"/>
  <c r="O19" i="7"/>
  <c r="O14" i="7"/>
  <c r="O13" i="7"/>
  <c r="I12" i="7"/>
  <c r="I6" i="7"/>
  <c r="I5" i="7" s="1"/>
  <c r="F9" i="7"/>
  <c r="O11" i="7"/>
  <c r="O10" i="7"/>
  <c r="O7" i="7" s="1"/>
  <c r="J9" i="7"/>
  <c r="I9" i="7"/>
  <c r="H9" i="7"/>
  <c r="G9" i="7"/>
  <c r="C9" i="7"/>
  <c r="F7" i="7"/>
  <c r="F6" i="7" s="1"/>
  <c r="E7" i="7"/>
  <c r="E6" i="7" s="1"/>
  <c r="E5" i="7" s="1"/>
  <c r="D7" i="7"/>
  <c r="D6" i="7" s="1"/>
  <c r="D5" i="7" s="1"/>
  <c r="C7" i="7"/>
  <c r="C6" i="7" s="1"/>
  <c r="C5" i="7" s="1"/>
  <c r="J6" i="7"/>
  <c r="O31" i="7"/>
  <c r="O25" i="7"/>
  <c r="O18" i="7"/>
  <c r="D9" i="7"/>
  <c r="O12" i="7"/>
  <c r="O8" i="7"/>
  <c r="J5" i="7"/>
  <c r="C25" i="7"/>
  <c r="J12" i="7"/>
  <c r="N23" i="5"/>
  <c r="N24" i="5"/>
  <c r="D26" i="5"/>
  <c r="E26" i="5"/>
  <c r="F26" i="5"/>
  <c r="G26" i="5"/>
  <c r="H26" i="5"/>
  <c r="I26" i="5"/>
  <c r="J26" i="5"/>
  <c r="K26" i="5"/>
  <c r="L26" i="5"/>
  <c r="M26" i="5"/>
  <c r="D27" i="5"/>
  <c r="E27" i="5"/>
  <c r="F27" i="5"/>
  <c r="G27" i="5"/>
  <c r="H27" i="5"/>
  <c r="I27" i="5"/>
  <c r="J27" i="5"/>
  <c r="J25" i="5" s="1"/>
  <c r="K27" i="5"/>
  <c r="L27" i="5"/>
  <c r="M27" i="5"/>
  <c r="N27" i="5"/>
  <c r="N25" i="5" s="1"/>
  <c r="C27" i="5"/>
  <c r="C26" i="5"/>
  <c r="N22" i="5"/>
  <c r="D23" i="5"/>
  <c r="E23" i="5"/>
  <c r="F23" i="5"/>
  <c r="G23" i="5"/>
  <c r="H23" i="5"/>
  <c r="I23" i="5"/>
  <c r="J23" i="5"/>
  <c r="K23" i="5"/>
  <c r="L23" i="5"/>
  <c r="M23" i="5"/>
  <c r="D24" i="5"/>
  <c r="D22" i="5" s="1"/>
  <c r="E24" i="5"/>
  <c r="F24" i="5"/>
  <c r="G24" i="5"/>
  <c r="H24" i="5"/>
  <c r="I24" i="5"/>
  <c r="J24" i="5"/>
  <c r="K24" i="5"/>
  <c r="L24" i="5"/>
  <c r="L22" i="5" s="1"/>
  <c r="M24" i="5"/>
  <c r="C24" i="5"/>
  <c r="C23" i="5"/>
  <c r="I25" i="5"/>
  <c r="K25" i="5"/>
  <c r="M25" i="5"/>
  <c r="C22" i="5"/>
  <c r="M22" i="5"/>
  <c r="I22" i="5"/>
  <c r="E22" i="5"/>
  <c r="H22" i="5"/>
  <c r="K22" i="5"/>
  <c r="G22" i="5"/>
  <c r="J22" i="5"/>
  <c r="O34" i="5"/>
  <c r="O21" i="5"/>
  <c r="N12" i="5"/>
  <c r="N8" i="5"/>
  <c r="M8" i="5"/>
  <c r="M6" i="5" s="1"/>
  <c r="O13" i="5"/>
  <c r="N18" i="5"/>
  <c r="N17" i="5" s="1"/>
  <c r="N16" i="5" s="1"/>
  <c r="M18" i="5"/>
  <c r="M12" i="5"/>
  <c r="K18" i="5"/>
  <c r="L18" i="5"/>
  <c r="L12" i="5"/>
  <c r="L8" i="5"/>
  <c r="L6" i="5" s="1"/>
  <c r="L9" i="5"/>
  <c r="K8" i="5"/>
  <c r="K12" i="5"/>
  <c r="J18" i="5"/>
  <c r="J9" i="5"/>
  <c r="J14" i="5"/>
  <c r="O14" i="5" s="1"/>
  <c r="O12" i="5" s="1"/>
  <c r="J12" i="5"/>
  <c r="J8" i="5"/>
  <c r="I18" i="5"/>
  <c r="I12" i="5"/>
  <c r="I11" i="5"/>
  <c r="I8" i="5" s="1"/>
  <c r="I6" i="5" s="1"/>
  <c r="I5" i="5" s="1"/>
  <c r="H8" i="5"/>
  <c r="C25" i="5"/>
  <c r="G9" i="5"/>
  <c r="G6" i="5"/>
  <c r="F8" i="5"/>
  <c r="F6" i="5" s="1"/>
  <c r="F11" i="5"/>
  <c r="O11" i="5" s="1"/>
  <c r="E11" i="5"/>
  <c r="D11" i="5"/>
  <c r="C11" i="5"/>
  <c r="O33" i="5"/>
  <c r="O31" i="5" s="1"/>
  <c r="O32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O29" i="5"/>
  <c r="O26" i="5" s="1"/>
  <c r="N28" i="5"/>
  <c r="M28" i="5"/>
  <c r="L28" i="5"/>
  <c r="K28" i="5"/>
  <c r="J28" i="5"/>
  <c r="I28" i="5"/>
  <c r="I17" i="5"/>
  <c r="I16" i="5" s="1"/>
  <c r="H28" i="5"/>
  <c r="G28" i="5"/>
  <c r="F28" i="5"/>
  <c r="E28" i="5"/>
  <c r="D28" i="5"/>
  <c r="C28" i="5"/>
  <c r="H25" i="5"/>
  <c r="G25" i="5"/>
  <c r="F25" i="5"/>
  <c r="E25" i="5"/>
  <c r="D25" i="5"/>
  <c r="O24" i="5"/>
  <c r="O20" i="5"/>
  <c r="O18" i="5"/>
  <c r="H18" i="5"/>
  <c r="G18" i="5"/>
  <c r="F18" i="5"/>
  <c r="E18" i="5"/>
  <c r="E17" i="5" s="1"/>
  <c r="E16" i="5" s="1"/>
  <c r="D18" i="5"/>
  <c r="C18" i="5"/>
  <c r="C17" i="5" s="1"/>
  <c r="C16" i="5" s="1"/>
  <c r="O10" i="5"/>
  <c r="N9" i="5"/>
  <c r="M9" i="5"/>
  <c r="K9" i="5"/>
  <c r="I9" i="5"/>
  <c r="H9" i="5"/>
  <c r="E9" i="5"/>
  <c r="D9" i="5"/>
  <c r="C9" i="5"/>
  <c r="K6" i="5"/>
  <c r="K5" i="5" s="1"/>
  <c r="H6" i="5"/>
  <c r="H5" i="5" s="1"/>
  <c r="F7" i="5"/>
  <c r="E7" i="5"/>
  <c r="E6" i="5" s="1"/>
  <c r="D7" i="5"/>
  <c r="D6" i="5" s="1"/>
  <c r="D5" i="5" s="1"/>
  <c r="C7" i="5"/>
  <c r="C6" i="5" s="1"/>
  <c r="C5" i="5" s="1"/>
  <c r="N6" i="5"/>
  <c r="N5" i="5" s="1"/>
  <c r="J6" i="5"/>
  <c r="M17" i="5"/>
  <c r="M16" i="5"/>
  <c r="K17" i="5"/>
  <c r="K16" i="5"/>
  <c r="H17" i="5"/>
  <c r="H16" i="5"/>
  <c r="H35" i="5"/>
  <c r="G17" i="5"/>
  <c r="G16" i="5" s="1"/>
  <c r="G35" i="5" s="1"/>
  <c r="G36" i="5" s="1"/>
  <c r="G5" i="5"/>
  <c r="N18" i="4"/>
  <c r="N19" i="4"/>
  <c r="O15" i="4"/>
  <c r="N14" i="4"/>
  <c r="N8" i="4"/>
  <c r="N6" i="4" s="1"/>
  <c r="N9" i="4"/>
  <c r="H20" i="4"/>
  <c r="H8" i="4"/>
  <c r="H6" i="4" s="1"/>
  <c r="H5" i="4" s="1"/>
  <c r="M18" i="4"/>
  <c r="M19" i="4"/>
  <c r="M8" i="4"/>
  <c r="M6" i="4"/>
  <c r="M5" i="4" s="1"/>
  <c r="M9" i="4"/>
  <c r="M23" i="4"/>
  <c r="M17" i="4" s="1"/>
  <c r="M13" i="4" s="1"/>
  <c r="M12" i="4" s="1"/>
  <c r="L18" i="4"/>
  <c r="L19" i="4"/>
  <c r="L14" i="4"/>
  <c r="M14" i="4"/>
  <c r="L8" i="4"/>
  <c r="L6" i="4" s="1"/>
  <c r="L5" i="4" s="1"/>
  <c r="L9" i="4"/>
  <c r="K18" i="4"/>
  <c r="K19" i="4"/>
  <c r="K14" i="4"/>
  <c r="K8" i="4"/>
  <c r="K6" i="4"/>
  <c r="K5" i="4"/>
  <c r="K9" i="4"/>
  <c r="J26" i="4"/>
  <c r="K26" i="4"/>
  <c r="L26" i="4"/>
  <c r="M26" i="4"/>
  <c r="N26" i="4"/>
  <c r="J23" i="4"/>
  <c r="K23" i="4"/>
  <c r="L23" i="4"/>
  <c r="N23" i="4"/>
  <c r="N17" i="4" s="1"/>
  <c r="J18" i="4"/>
  <c r="H18" i="4"/>
  <c r="I18" i="4"/>
  <c r="I19" i="4"/>
  <c r="J19" i="4"/>
  <c r="J14" i="4"/>
  <c r="J13" i="4" s="1"/>
  <c r="J12" i="4" s="1"/>
  <c r="J30" i="4" s="1"/>
  <c r="J31" i="4" s="1"/>
  <c r="J11" i="4"/>
  <c r="J9" i="4" s="1"/>
  <c r="O11" i="4"/>
  <c r="J6" i="4"/>
  <c r="J5" i="4" s="1"/>
  <c r="J17" i="4"/>
  <c r="I26" i="4"/>
  <c r="H26" i="4"/>
  <c r="H19" i="4"/>
  <c r="H23" i="4"/>
  <c r="I23" i="4"/>
  <c r="I17" i="4" s="1"/>
  <c r="H14" i="4"/>
  <c r="I14" i="4"/>
  <c r="G9" i="4"/>
  <c r="I6" i="4"/>
  <c r="I5" i="4"/>
  <c r="H9" i="4"/>
  <c r="I9" i="4"/>
  <c r="G26" i="4"/>
  <c r="G23" i="4"/>
  <c r="G20" i="4"/>
  <c r="G18" i="4"/>
  <c r="G19" i="4"/>
  <c r="G14" i="4"/>
  <c r="F7" i="4"/>
  <c r="G6" i="4"/>
  <c r="G5" i="4"/>
  <c r="F18" i="4"/>
  <c r="F19" i="4"/>
  <c r="F26" i="4"/>
  <c r="F23" i="4"/>
  <c r="F20" i="4"/>
  <c r="F17" i="4" s="1"/>
  <c r="F13" i="4" s="1"/>
  <c r="F12" i="4" s="1"/>
  <c r="F30" i="4" s="1"/>
  <c r="F14" i="4"/>
  <c r="F9" i="4"/>
  <c r="F6" i="4"/>
  <c r="F5" i="4" s="1"/>
  <c r="E20" i="4"/>
  <c r="E18" i="4"/>
  <c r="E26" i="4"/>
  <c r="E23" i="4"/>
  <c r="E19" i="4"/>
  <c r="E14" i="4"/>
  <c r="E7" i="4"/>
  <c r="E6" i="4" s="1"/>
  <c r="E5" i="4" s="1"/>
  <c r="E9" i="4"/>
  <c r="O28" i="4"/>
  <c r="O26" i="4" s="1"/>
  <c r="O27" i="4"/>
  <c r="D26" i="4"/>
  <c r="C26" i="4"/>
  <c r="O25" i="4"/>
  <c r="O24" i="4"/>
  <c r="D23" i="4"/>
  <c r="C23" i="4"/>
  <c r="O21" i="4"/>
  <c r="O20" i="4" s="1"/>
  <c r="D20" i="4"/>
  <c r="C20" i="4"/>
  <c r="D19" i="4"/>
  <c r="C19" i="4"/>
  <c r="D18" i="4"/>
  <c r="C18" i="4"/>
  <c r="O16" i="4"/>
  <c r="D14" i="4"/>
  <c r="D13" i="4" s="1"/>
  <c r="D12" i="4" s="1"/>
  <c r="C14" i="4"/>
  <c r="O10" i="4"/>
  <c r="O7" i="4" s="1"/>
  <c r="D9" i="4"/>
  <c r="C9" i="4"/>
  <c r="D7" i="4"/>
  <c r="D6" i="4"/>
  <c r="C7" i="4"/>
  <c r="C6" i="4" s="1"/>
  <c r="C5" i="4" s="1"/>
  <c r="D17" i="4"/>
  <c r="N18" i="3"/>
  <c r="O28" i="3"/>
  <c r="O27" i="3"/>
  <c r="O26" i="3" s="1"/>
  <c r="O25" i="3"/>
  <c r="O24" i="3"/>
  <c r="O21" i="3"/>
  <c r="O20" i="3" s="1"/>
  <c r="O16" i="3"/>
  <c r="O15" i="3"/>
  <c r="O10" i="3"/>
  <c r="N19" i="3"/>
  <c r="M18" i="3"/>
  <c r="M19" i="3"/>
  <c r="M20" i="3"/>
  <c r="L20" i="3"/>
  <c r="L17" i="3" s="1"/>
  <c r="L18" i="3"/>
  <c r="L19" i="3"/>
  <c r="K20" i="3"/>
  <c r="K18" i="3"/>
  <c r="K19" i="3"/>
  <c r="J18" i="3"/>
  <c r="J19" i="3"/>
  <c r="J20" i="3"/>
  <c r="I20" i="3"/>
  <c r="G20" i="3"/>
  <c r="I18" i="3"/>
  <c r="I19" i="3"/>
  <c r="H20" i="3"/>
  <c r="H17" i="3" s="1"/>
  <c r="H13" i="3" s="1"/>
  <c r="H12" i="3" s="1"/>
  <c r="H30" i="3" s="1"/>
  <c r="H18" i="3"/>
  <c r="H19" i="3"/>
  <c r="G18" i="3"/>
  <c r="G19" i="3"/>
  <c r="F18" i="3"/>
  <c r="F19" i="3"/>
  <c r="E18" i="3"/>
  <c r="E19" i="3"/>
  <c r="D18" i="3"/>
  <c r="D19" i="3"/>
  <c r="C19" i="3"/>
  <c r="C18" i="3"/>
  <c r="C7" i="3"/>
  <c r="L7" i="3"/>
  <c r="M7" i="3"/>
  <c r="M6" i="3" s="1"/>
  <c r="M5" i="3" s="1"/>
  <c r="N7" i="3"/>
  <c r="N6" i="3" s="1"/>
  <c r="N5" i="3" s="1"/>
  <c r="O7" i="3"/>
  <c r="N26" i="3"/>
  <c r="M26" i="3"/>
  <c r="L26" i="3"/>
  <c r="K26" i="3"/>
  <c r="J26" i="3"/>
  <c r="I26" i="3"/>
  <c r="H26" i="3"/>
  <c r="G26" i="3"/>
  <c r="F26" i="3"/>
  <c r="E26" i="3"/>
  <c r="D26" i="3"/>
  <c r="C26" i="3"/>
  <c r="N23" i="3"/>
  <c r="M23" i="3"/>
  <c r="L23" i="3"/>
  <c r="K23" i="3"/>
  <c r="J23" i="3"/>
  <c r="I23" i="3"/>
  <c r="H23" i="3"/>
  <c r="G23" i="3"/>
  <c r="G17" i="3" s="1"/>
  <c r="F23" i="3"/>
  <c r="F17" i="3" s="1"/>
  <c r="E23" i="3"/>
  <c r="D23" i="3"/>
  <c r="C23" i="3"/>
  <c r="N20" i="3"/>
  <c r="N17" i="3" s="1"/>
  <c r="N13" i="3" s="1"/>
  <c r="N12" i="3" s="1"/>
  <c r="F20" i="3"/>
  <c r="E20" i="3"/>
  <c r="E17" i="3" s="1"/>
  <c r="D20" i="3"/>
  <c r="C20" i="3"/>
  <c r="N14" i="3"/>
  <c r="M14" i="3"/>
  <c r="L14" i="3"/>
  <c r="K14" i="3"/>
  <c r="J14" i="3"/>
  <c r="I14" i="3"/>
  <c r="H14" i="3"/>
  <c r="G14" i="3"/>
  <c r="F14" i="3"/>
  <c r="E14" i="3"/>
  <c r="D14" i="3"/>
  <c r="C14" i="3"/>
  <c r="O9" i="3"/>
  <c r="Q9" i="3"/>
  <c r="N9" i="3"/>
  <c r="M9" i="3"/>
  <c r="L9" i="3"/>
  <c r="K9" i="3"/>
  <c r="J9" i="3"/>
  <c r="I9" i="3"/>
  <c r="H9" i="3"/>
  <c r="G9" i="3"/>
  <c r="F9" i="3"/>
  <c r="E9" i="3"/>
  <c r="D9" i="3"/>
  <c r="C9" i="3"/>
  <c r="K7" i="3"/>
  <c r="K6" i="3" s="1"/>
  <c r="J7" i="3"/>
  <c r="J6" i="3" s="1"/>
  <c r="J5" i="3" s="1"/>
  <c r="I7" i="3"/>
  <c r="I6" i="3"/>
  <c r="H7" i="3"/>
  <c r="H6" i="3"/>
  <c r="H5" i="3" s="1"/>
  <c r="G7" i="3"/>
  <c r="G6" i="3"/>
  <c r="G5" i="3" s="1"/>
  <c r="F7" i="3"/>
  <c r="F6" i="3"/>
  <c r="F5" i="3" s="1"/>
  <c r="E7" i="3"/>
  <c r="E6" i="3" s="1"/>
  <c r="E5" i="3" s="1"/>
  <c r="D7" i="3"/>
  <c r="D6" i="3" s="1"/>
  <c r="D5" i="3" s="1"/>
  <c r="L6" i="3"/>
  <c r="L5" i="3" s="1"/>
  <c r="D17" i="3"/>
  <c r="D13" i="3" s="1"/>
  <c r="D12" i="3" s="1"/>
  <c r="O14" i="3"/>
  <c r="C6" i="3"/>
  <c r="O6" i="3"/>
  <c r="O5" i="3"/>
  <c r="I5" i="3"/>
  <c r="O23" i="3"/>
  <c r="O28" i="2"/>
  <c r="O19" i="2" s="1"/>
  <c r="O27" i="2"/>
  <c r="O25" i="2"/>
  <c r="O24" i="2"/>
  <c r="O21" i="2"/>
  <c r="O20" i="2" s="1"/>
  <c r="O16" i="2"/>
  <c r="O15" i="2"/>
  <c r="O10" i="2"/>
  <c r="O9" i="2" s="1"/>
  <c r="N20" i="2"/>
  <c r="N18" i="2"/>
  <c r="N26" i="2"/>
  <c r="N19" i="2"/>
  <c r="N23" i="2"/>
  <c r="N14" i="2"/>
  <c r="N9" i="2"/>
  <c r="N6" i="2"/>
  <c r="N5" i="2" s="1"/>
  <c r="M26" i="2"/>
  <c r="M18" i="2"/>
  <c r="M19" i="2"/>
  <c r="M23" i="2"/>
  <c r="M14" i="2"/>
  <c r="M6" i="2"/>
  <c r="M5" i="2" s="1"/>
  <c r="M9" i="2"/>
  <c r="L9" i="2"/>
  <c r="L26" i="2"/>
  <c r="L18" i="2"/>
  <c r="L19" i="2"/>
  <c r="L23" i="2"/>
  <c r="L17" i="2" s="1"/>
  <c r="L14" i="2"/>
  <c r="L6" i="2"/>
  <c r="L5" i="2" s="1"/>
  <c r="C5" i="1"/>
  <c r="L5" i="1"/>
  <c r="G17" i="1"/>
  <c r="G13" i="1" s="1"/>
  <c r="G12" i="1" s="1"/>
  <c r="H17" i="1"/>
  <c r="H13" i="1" s="1"/>
  <c r="H12" i="1" s="1"/>
  <c r="I17" i="1"/>
  <c r="I13" i="1" s="1"/>
  <c r="I12" i="1" s="1"/>
  <c r="K13" i="1"/>
  <c r="K12" i="1" s="1"/>
  <c r="D17" i="1"/>
  <c r="D13" i="1" s="1"/>
  <c r="E17" i="1"/>
  <c r="F17" i="1"/>
  <c r="F13" i="1" s="1"/>
  <c r="F12" i="1" s="1"/>
  <c r="C17" i="1"/>
  <c r="C13" i="1" s="1"/>
  <c r="C12" i="1" s="1"/>
  <c r="J13" i="1"/>
  <c r="J12" i="1" s="1"/>
  <c r="J30" i="1" s="1"/>
  <c r="L30" i="1" s="1"/>
  <c r="E13" i="1"/>
  <c r="E12" i="1" s="1"/>
  <c r="L17" i="1"/>
  <c r="K26" i="2"/>
  <c r="K18" i="2"/>
  <c r="K19" i="2"/>
  <c r="K23" i="2"/>
  <c r="K17" i="2" s="1"/>
  <c r="K13" i="2" s="1"/>
  <c r="K12" i="2" s="1"/>
  <c r="K14" i="2"/>
  <c r="K7" i="2"/>
  <c r="K6" i="2" s="1"/>
  <c r="K9" i="2"/>
  <c r="J18" i="2"/>
  <c r="J19" i="2"/>
  <c r="J26" i="2"/>
  <c r="J23" i="2"/>
  <c r="J17" i="2" s="1"/>
  <c r="J14" i="2"/>
  <c r="J7" i="2"/>
  <c r="J6" i="2" s="1"/>
  <c r="J5" i="2" s="1"/>
  <c r="J9" i="2"/>
  <c r="I18" i="2"/>
  <c r="I19" i="2"/>
  <c r="I26" i="2"/>
  <c r="I23" i="2"/>
  <c r="I14" i="2"/>
  <c r="I7" i="2"/>
  <c r="I6" i="2" s="1"/>
  <c r="I5" i="2" s="1"/>
  <c r="I9" i="2"/>
  <c r="H18" i="2"/>
  <c r="H19" i="2"/>
  <c r="H26" i="2"/>
  <c r="H23" i="2"/>
  <c r="H14" i="2"/>
  <c r="H9" i="2"/>
  <c r="H7" i="2"/>
  <c r="H6" i="2" s="1"/>
  <c r="I17" i="2"/>
  <c r="G26" i="2"/>
  <c r="G17" i="2" s="1"/>
  <c r="F26" i="2"/>
  <c r="E26" i="2"/>
  <c r="D26" i="2"/>
  <c r="C26" i="2"/>
  <c r="C17" i="2" s="1"/>
  <c r="C13" i="2" s="1"/>
  <c r="C12" i="2" s="1"/>
  <c r="G23" i="2"/>
  <c r="F23" i="2"/>
  <c r="E23" i="2"/>
  <c r="D23" i="2"/>
  <c r="C23" i="2"/>
  <c r="F20" i="2"/>
  <c r="F17" i="2" s="1"/>
  <c r="E20" i="2"/>
  <c r="E17" i="2" s="1"/>
  <c r="D20" i="2"/>
  <c r="D17" i="2" s="1"/>
  <c r="D13" i="2" s="1"/>
  <c r="D12" i="2" s="1"/>
  <c r="C20" i="2"/>
  <c r="G19" i="2"/>
  <c r="F19" i="2"/>
  <c r="E19" i="2"/>
  <c r="D19" i="2"/>
  <c r="C19" i="2"/>
  <c r="G18" i="2"/>
  <c r="F18" i="2"/>
  <c r="E18" i="2"/>
  <c r="D18" i="2"/>
  <c r="G14" i="2"/>
  <c r="F14" i="2"/>
  <c r="F13" i="2" s="1"/>
  <c r="F12" i="2" s="1"/>
  <c r="E14" i="2"/>
  <c r="D14" i="2"/>
  <c r="C14" i="2"/>
  <c r="G9" i="2"/>
  <c r="F9" i="2"/>
  <c r="E9" i="2"/>
  <c r="D9" i="2"/>
  <c r="C9" i="2"/>
  <c r="G7" i="2"/>
  <c r="G6" i="2"/>
  <c r="F7" i="2"/>
  <c r="F6" i="2" s="1"/>
  <c r="F5" i="2" s="1"/>
  <c r="F31" i="2" s="1"/>
  <c r="E7" i="2"/>
  <c r="E6" i="2" s="1"/>
  <c r="D7" i="2"/>
  <c r="C7" i="2"/>
  <c r="C6" i="2" s="1"/>
  <c r="D6" i="2"/>
  <c r="D5" i="2" s="1"/>
  <c r="K31" i="1"/>
  <c r="I31" i="1"/>
  <c r="H31" i="1"/>
  <c r="G31" i="1"/>
  <c r="F31" i="1"/>
  <c r="E31" i="1"/>
  <c r="D31" i="1"/>
  <c r="C31" i="1"/>
  <c r="G5" i="2"/>
  <c r="N30" i="3" l="1"/>
  <c r="N31" i="3" s="1"/>
  <c r="C17" i="3"/>
  <c r="C13" i="3" s="1"/>
  <c r="C12" i="3" s="1"/>
  <c r="O19" i="3"/>
  <c r="J17" i="3"/>
  <c r="J13" i="3" s="1"/>
  <c r="J12" i="3" s="1"/>
  <c r="J30" i="3" s="1"/>
  <c r="J31" i="3" s="1"/>
  <c r="M17" i="2"/>
  <c r="M13" i="2" s="1"/>
  <c r="M12" i="2" s="1"/>
  <c r="M30" i="2" s="1"/>
  <c r="M31" i="2" s="1"/>
  <c r="O18" i="2"/>
  <c r="E13" i="3"/>
  <c r="E12" i="3" s="1"/>
  <c r="K17" i="3"/>
  <c r="K13" i="3" s="1"/>
  <c r="K12" i="3" s="1"/>
  <c r="C17" i="4"/>
  <c r="C13" i="4" s="1"/>
  <c r="C12" i="4" s="1"/>
  <c r="I13" i="4"/>
  <c r="I12" i="4" s="1"/>
  <c r="O9" i="4"/>
  <c r="N13" i="4"/>
  <c r="N12" i="4" s="1"/>
  <c r="N30" i="4" s="1"/>
  <c r="N31" i="4" s="1"/>
  <c r="J17" i="7"/>
  <c r="J16" i="7" s="1"/>
  <c r="J35" i="7" s="1"/>
  <c r="J36" i="7" s="1"/>
  <c r="D30" i="3"/>
  <c r="D31" i="3" s="1"/>
  <c r="G13" i="3"/>
  <c r="G12" i="3" s="1"/>
  <c r="G30" i="3" s="1"/>
  <c r="G31" i="3" s="1"/>
  <c r="O18" i="3"/>
  <c r="L13" i="3"/>
  <c r="L12" i="3" s="1"/>
  <c r="L30" i="3" s="1"/>
  <c r="L31" i="3" s="1"/>
  <c r="L13" i="2"/>
  <c r="L12" i="2" s="1"/>
  <c r="L30" i="2" s="1"/>
  <c r="L31" i="2" s="1"/>
  <c r="O26" i="2"/>
  <c r="F13" i="3"/>
  <c r="F12" i="3" s="1"/>
  <c r="O18" i="4"/>
  <c r="H17" i="4"/>
  <c r="H13" i="4" s="1"/>
  <c r="H12" i="4" s="1"/>
  <c r="H30" i="4" s="1"/>
  <c r="O28" i="5"/>
  <c r="H36" i="5"/>
  <c r="J17" i="5"/>
  <c r="J16" i="5" s="1"/>
  <c r="L25" i="5"/>
  <c r="O8" i="5"/>
  <c r="L17" i="7"/>
  <c r="L16" i="7" s="1"/>
  <c r="M31" i="7"/>
  <c r="L17" i="5"/>
  <c r="L16" i="5" s="1"/>
  <c r="D17" i="5"/>
  <c r="D16" i="5" s="1"/>
  <c r="D35" i="5" s="1"/>
  <c r="D36" i="5" s="1"/>
  <c r="F22" i="5"/>
  <c r="F17" i="5" s="1"/>
  <c r="F16" i="5" s="1"/>
  <c r="F35" i="5" s="1"/>
  <c r="K17" i="7"/>
  <c r="K16" i="7" s="1"/>
  <c r="K35" i="7" s="1"/>
  <c r="K36" i="7" s="1"/>
  <c r="E30" i="3"/>
  <c r="E31" i="3" s="1"/>
  <c r="C30" i="4"/>
  <c r="C31" i="4" s="1"/>
  <c r="L5" i="5"/>
  <c r="L35" i="5"/>
  <c r="O24" i="7"/>
  <c r="O22" i="7" s="1"/>
  <c r="O17" i="7" s="1"/>
  <c r="O16" i="7" s="1"/>
  <c r="F30" i="3"/>
  <c r="F31" i="3" s="1"/>
  <c r="H31" i="3"/>
  <c r="G13" i="2"/>
  <c r="G12" i="2" s="1"/>
  <c r="G30" i="2" s="1"/>
  <c r="G31" i="2" s="1"/>
  <c r="F5" i="5"/>
  <c r="O17" i="3"/>
  <c r="O13" i="3" s="1"/>
  <c r="O12" i="3" s="1"/>
  <c r="Q12" i="3" s="1"/>
  <c r="D30" i="4"/>
  <c r="O14" i="4"/>
  <c r="L17" i="4"/>
  <c r="L13" i="4" s="1"/>
  <c r="L12" i="4" s="1"/>
  <c r="L30" i="4" s="1"/>
  <c r="L31" i="4" s="1"/>
  <c r="M30" i="4"/>
  <c r="M31" i="4" s="1"/>
  <c r="L31" i="1"/>
  <c r="N17" i="2"/>
  <c r="N13" i="2" s="1"/>
  <c r="N12" i="2" s="1"/>
  <c r="N30" i="2" s="1"/>
  <c r="N31" i="2" s="1"/>
  <c r="O14" i="2"/>
  <c r="O13" i="2" s="1"/>
  <c r="O12" i="2" s="1"/>
  <c r="O23" i="2"/>
  <c r="O17" i="2" s="1"/>
  <c r="O23" i="4"/>
  <c r="O8" i="4"/>
  <c r="C35" i="5"/>
  <c r="C36" i="5" s="1"/>
  <c r="K35" i="5"/>
  <c r="K36" i="5" s="1"/>
  <c r="F9" i="5"/>
  <c r="G17" i="7"/>
  <c r="G16" i="7" s="1"/>
  <c r="D22" i="7"/>
  <c r="D17" i="7" s="1"/>
  <c r="D16" i="7" s="1"/>
  <c r="E22" i="7"/>
  <c r="E17" i="7" s="1"/>
  <c r="E16" i="7" s="1"/>
  <c r="E35" i="7" s="1"/>
  <c r="E36" i="7" s="1"/>
  <c r="H17" i="7"/>
  <c r="H16" i="7" s="1"/>
  <c r="H35" i="7" s="1"/>
  <c r="H36" i="7" s="1"/>
  <c r="N17" i="7"/>
  <c r="N16" i="7" s="1"/>
  <c r="O23" i="5"/>
  <c r="O22" i="5" s="1"/>
  <c r="O17" i="5" s="1"/>
  <c r="O16" i="5" s="1"/>
  <c r="O6" i="7"/>
  <c r="O35" i="7" s="1"/>
  <c r="O9" i="7"/>
  <c r="I22" i="7"/>
  <c r="I17" i="7" s="1"/>
  <c r="I16" i="7" s="1"/>
  <c r="I35" i="7" s="1"/>
  <c r="I36" i="7" s="1"/>
  <c r="D30" i="2"/>
  <c r="D31" i="2" s="1"/>
  <c r="O17" i="4"/>
  <c r="O25" i="5"/>
  <c r="I13" i="2"/>
  <c r="I12" i="2" s="1"/>
  <c r="I30" i="2" s="1"/>
  <c r="I31" i="2" s="1"/>
  <c r="O19" i="4"/>
  <c r="G17" i="4"/>
  <c r="G13" i="4" s="1"/>
  <c r="G12" i="4" s="1"/>
  <c r="G30" i="4" s="1"/>
  <c r="G31" i="4" s="1"/>
  <c r="J35" i="5"/>
  <c r="O27" i="5"/>
  <c r="E13" i="2"/>
  <c r="E12" i="2" s="1"/>
  <c r="J13" i="2"/>
  <c r="J12" i="2" s="1"/>
  <c r="J30" i="2" s="1"/>
  <c r="J31" i="2" s="1"/>
  <c r="H17" i="2"/>
  <c r="H13" i="2" s="1"/>
  <c r="H12" i="2" s="1"/>
  <c r="H30" i="2" s="1"/>
  <c r="M17" i="3"/>
  <c r="M13" i="3" s="1"/>
  <c r="M12" i="3" s="1"/>
  <c r="M30" i="3" s="1"/>
  <c r="M31" i="3" s="1"/>
  <c r="I17" i="3"/>
  <c r="I13" i="3" s="1"/>
  <c r="I12" i="3" s="1"/>
  <c r="I30" i="3" s="1"/>
  <c r="I31" i="3" s="1"/>
  <c r="O6" i="4"/>
  <c r="E17" i="4"/>
  <c r="E13" i="4" s="1"/>
  <c r="E12" i="4" s="1"/>
  <c r="E30" i="4" s="1"/>
  <c r="E31" i="4" s="1"/>
  <c r="K17" i="4"/>
  <c r="K13" i="4" s="1"/>
  <c r="K12" i="4" s="1"/>
  <c r="K30" i="4" s="1"/>
  <c r="K31" i="4" s="1"/>
  <c r="I35" i="5"/>
  <c r="I36" i="5" s="1"/>
  <c r="N35" i="5"/>
  <c r="N36" i="5" s="1"/>
  <c r="F17" i="7"/>
  <c r="F16" i="7" s="1"/>
  <c r="F35" i="7" s="1"/>
  <c r="F36" i="7" s="1"/>
  <c r="M22" i="7"/>
  <c r="O9" i="5"/>
  <c r="E5" i="2"/>
  <c r="E30" i="2"/>
  <c r="C30" i="2"/>
  <c r="C5" i="2"/>
  <c r="H5" i="2"/>
  <c r="K30" i="2"/>
  <c r="K5" i="2"/>
  <c r="D12" i="1"/>
  <c r="L12" i="1" s="1"/>
  <c r="L13" i="1"/>
  <c r="N5" i="7"/>
  <c r="N35" i="7"/>
  <c r="N36" i="7" s="1"/>
  <c r="F5" i="7"/>
  <c r="L35" i="7"/>
  <c r="L36" i="7" s="1"/>
  <c r="L5" i="7"/>
  <c r="O30" i="3"/>
  <c r="O31" i="3" s="1"/>
  <c r="C30" i="3"/>
  <c r="O5" i="4"/>
  <c r="H31" i="4"/>
  <c r="N5" i="4"/>
  <c r="M5" i="5"/>
  <c r="M35" i="5"/>
  <c r="O5" i="7"/>
  <c r="C35" i="7"/>
  <c r="C36" i="7" s="1"/>
  <c r="G35" i="7"/>
  <c r="G5" i="7"/>
  <c r="O7" i="2"/>
  <c r="O6" i="2" s="1"/>
  <c r="K5" i="3"/>
  <c r="K30" i="3"/>
  <c r="F31" i="4"/>
  <c r="I30" i="4"/>
  <c r="I31" i="4" s="1"/>
  <c r="E35" i="5"/>
  <c r="E5" i="5"/>
  <c r="D35" i="7"/>
  <c r="D36" i="7" s="1"/>
  <c r="M17" i="7"/>
  <c r="M16" i="7" s="1"/>
  <c r="M35" i="7" s="1"/>
  <c r="M36" i="7" s="1"/>
  <c r="C5" i="3"/>
  <c r="D5" i="4"/>
  <c r="D31" i="4" s="1"/>
  <c r="O7" i="5"/>
  <c r="J5" i="5"/>
  <c r="O17" i="8"/>
  <c r="O16" i="8" s="1"/>
  <c r="O35" i="8" s="1"/>
  <c r="C35" i="8"/>
  <c r="F36" i="5" l="1"/>
  <c r="O6" i="5"/>
  <c r="O35" i="5" s="1"/>
  <c r="J36" i="5"/>
  <c r="K31" i="3"/>
  <c r="M36" i="5"/>
  <c r="L36" i="5"/>
  <c r="O13" i="4"/>
  <c r="O12" i="4" s="1"/>
  <c r="O30" i="4" s="1"/>
  <c r="E36" i="5"/>
  <c r="G36" i="7"/>
  <c r="C31" i="3"/>
  <c r="O5" i="5"/>
  <c r="K31" i="2"/>
  <c r="C31" i="2"/>
  <c r="O30" i="2"/>
  <c r="O5" i="2"/>
  <c r="O31" i="4"/>
  <c r="H31" i="2"/>
  <c r="E31" i="2"/>
  <c r="C36" i="8"/>
  <c r="O31" i="2" l="1"/>
  <c r="O36" i="5"/>
</calcChain>
</file>

<file path=xl/sharedStrings.xml><?xml version="1.0" encoding="utf-8"?>
<sst xmlns="http://schemas.openxmlformats.org/spreadsheetml/2006/main" count="513" uniqueCount="57">
  <si>
    <t>Баланс электрической энергии и мощности на 2013 год ООО "Северный Город"</t>
  </si>
  <si>
    <t>(кВт.ч)</t>
  </si>
  <si>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</si>
  <si>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</si>
  <si>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</si>
  <si>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</si>
  <si>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</si>
  <si>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</si>
  <si>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</si>
  <si>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</si>
  <si>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</si>
  <si>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</si>
  <si>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</si>
  <si>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</si>
  <si>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Объем электроэнергии,поставленной в электрическую сеть "Сетевой организации" из смежных сетей или от производителей</t>
  </si>
  <si>
    <t xml:space="preserve">1.1. </t>
  </si>
  <si>
    <t>Поступление в сеть из смежных сетевых организаций</t>
  </si>
  <si>
    <t>СН2</t>
  </si>
  <si>
    <t>НН</t>
  </si>
  <si>
    <t xml:space="preserve">1.1.1. </t>
  </si>
  <si>
    <t>филиал ОАО "МРСК Сибири"-"Красноярскэнерго"</t>
  </si>
  <si>
    <t xml:space="preserve">2. </t>
  </si>
  <si>
    <t>Отпуск электроэнергии из сетей Сетевой организации</t>
  </si>
  <si>
    <t xml:space="preserve">2.1. </t>
  </si>
  <si>
    <t>Отпуск электроэнергии потребителям(2.1.1+2.1.4+2.1.5),в том числе:</t>
  </si>
  <si>
    <t>2.1.1</t>
  </si>
  <si>
    <t>Отпуск электроэнергии потребителям юридическим лицам</t>
  </si>
  <si>
    <t>2.1.2</t>
  </si>
  <si>
    <t>Отпуск электроэнергии юридическим лицам по тарифу Население,в том числе:</t>
  </si>
  <si>
    <t>Отпуск электроэнергии приравненным к населению</t>
  </si>
  <si>
    <t>Население, проживающее в городских  населенных пунктах в домах ,оборудованных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</si>
  <si>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 ,оборудованных электроплитами/электроотопительными установками сверх с/н</t>
  </si>
  <si>
    <t>2.2.</t>
  </si>
  <si>
    <t>Отпуск из сети в смежные сетевые организации</t>
  </si>
  <si>
    <t xml:space="preserve"> Фактические потери в сетях "Сетевой организации" (1 -  2 - 3)</t>
  </si>
  <si>
    <t>Процент потерь</t>
  </si>
  <si>
    <t>Баланс электрической энергии и мощности на 2014 год ООО "Северный Город"</t>
  </si>
  <si>
    <t>Январь</t>
  </si>
  <si>
    <t>Февраль</t>
  </si>
  <si>
    <t>Март</t>
  </si>
  <si>
    <t>2.1.2.1</t>
  </si>
  <si>
    <t>2.1.2.2</t>
  </si>
  <si>
    <t>2.1.2.3</t>
  </si>
  <si>
    <t>Итого</t>
  </si>
  <si>
    <t>Баланс электрической энергии и мощности на 2015 год ООО "Северный Город"</t>
  </si>
  <si>
    <t>Баланс электрической энергии и мощности на 2016 год ООО "Северный Город"</t>
  </si>
  <si>
    <t>ВН</t>
  </si>
  <si>
    <t>Баланс электрической энергии и мощности на 2017 год ООО "Северный Город"</t>
  </si>
  <si>
    <t xml:space="preserve">1.1.2. </t>
  </si>
  <si>
    <t>ПАО «ФСК ЕЭС»</t>
  </si>
  <si>
    <t>Баланс электрической энергии и мощности на 2018 год ООО "Северный Город"</t>
  </si>
  <si>
    <t>Баланс электрической энергии и мощности на 2019 год ООО "Северный Город"</t>
  </si>
  <si>
    <t xml:space="preserve">ООО "СтройТрейд" </t>
  </si>
  <si>
    <t>Баланс электрической энергии и мощности на 2021 год ООО "Финарт"</t>
  </si>
  <si>
    <t xml:space="preserve">1.1.3. </t>
  </si>
  <si>
    <t>ФИЦ КНЦ СО РАН</t>
  </si>
  <si>
    <t>филиал ПАО "Россети Сибирь" - "Красноярскэнерго"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</si>
</sst>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9" fontId="4" fillId="2" borderId="1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/>
    </xf>
    <xf numFmtId="0" fontId="4" fillId="0" borderId="1" xfId="0" applyFont="1" applyBorder="1"/>
    <xf numFmtId="3" fontId="3" fillId="0" borderId="0" xfId="0" applyNumberFormat="1" applyFont="1"/>
    <xf numFmtId="3" fontId="2" fillId="0" borderId="1" xfId="0" applyNumberFormat="1" applyFont="1" applyBorder="1"/>
    <xf numFmtId="3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0" xfId="0" applyNumberFormat="1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3" fontId="6" fillId="0" borderId="0" xfId="0" applyNumberFormat="1" applyFont="1"/>
    <xf numFmtId="9" fontId="4" fillId="0" borderId="1" xfId="1" applyFont="1" applyBorder="1" applyAlignment="1">
      <alignment horizontal="right"/>
    </xf>
    <xf numFmtId="9" fontId="6" fillId="0" borderId="0" xfId="1" applyFont="1" applyAlignment="1">
      <alignment horizontal="right"/>
    </xf>
    <xf numFmtId="3" fontId="4" fillId="0" borderId="1" xfId="0" applyNumberFormat="1" applyFont="1" applyBorder="1"/>
    <xf numFmtId="0" fontId="7" fillId="0" borderId="0" xfId="2" applyAlignment="1">
      <alignment vertical="center"/>
    </xf>
    <xf numFmtId="0" fontId="7" fillId="0" borderId="0" xfId="2"/>
    <xf numFmtId="164" fontId="4" fillId="2" borderId="1" xfId="1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_Dep/&#1052;&#1072;&#1094;&#1077;&#1085;&#1080;&#1085;&#1091;/&#1061;&#1091;&#1076;&#1103;&#1082;&#1086;&#1074;&#1072;/&#1060;&#1086;&#1088;&#1084;&#1099;%20&#1087;&#1088;&#1077;&#1076;&#1086;&#1089;&#1090;&#1086;&#1074;&#1083;&#1103;&#1077;&#1084;&#1099;&#1077;%20&#1074;%20&#1052;&#1056;&#1057;&#1050;/2017/&#1040;&#1087;&#1088;&#1077;&#1083;&#1100;/&#1041;&#1072;&#1083;&#1072;&#1085;&#1089;%20&#1072;&#1087;&#1088;&#1077;&#1083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69;&#1085;&#1077;&#1088;&#1075;&#1086;&#1089;&#1073;&#1099;&#1090;/&#1060;&#1041;%20&#1103;&#1085;&#1074;&#1072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54;&#1073;&#1098;&#1077;&#1084;%20&#1054;&#1054;&#1054;%20&#1060;&#1080;&#1085;&#1072;&#1088;&#1090;%20012021%20(&#1076;&#1083;&#1103;%20&#1088;&#1072;&#1089;&#1095;&#1077;&#1090;&#1086;&#1074;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69;&#1085;&#1077;&#1088;&#1075;&#1086;&#1089;&#1073;&#1099;&#1090;/&#1044;&#1050;&#1055;%20&#1060;&#1080;&#1085;&#1072;&#1088;&#1090;%2001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O13">
            <v>1666724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2844791.9999999995</v>
          </cell>
        </row>
        <row r="15">
          <cell r="C15">
            <v>2641193.9999999949</v>
          </cell>
        </row>
        <row r="16">
          <cell r="C16">
            <v>79059.999999999971</v>
          </cell>
        </row>
        <row r="66">
          <cell r="C66">
            <v>501020.50344827591</v>
          </cell>
        </row>
        <row r="69">
          <cell r="C69">
            <v>1297604.0620689599</v>
          </cell>
        </row>
        <row r="71">
          <cell r="C71">
            <v>227796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5">
          <cell r="V555">
            <v>384639</v>
          </cell>
        </row>
        <row r="556">
          <cell r="V556">
            <v>487575</v>
          </cell>
        </row>
        <row r="558">
          <cell r="V558">
            <v>673462</v>
          </cell>
        </row>
        <row r="559">
          <cell r="V559">
            <v>635924</v>
          </cell>
        </row>
        <row r="561">
          <cell r="V561">
            <v>110</v>
          </cell>
        </row>
        <row r="563">
          <cell r="V563">
            <v>2327</v>
          </cell>
        </row>
        <row r="565">
          <cell r="V565">
            <v>666130</v>
          </cell>
        </row>
        <row r="566">
          <cell r="V566">
            <v>412745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">
          <cell r="V11">
            <v>6677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F0"/>
    <pageSetUpPr fitToPage="1"/>
  </sheetPr>
  <dimension ref="A1:O32"/>
  <sheetViews>
    <sheetView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defaultRowHeight="15.75" x14ac:dyDescent="0.25"/>
  <cols>
    <col min="1" max="1" width="9.140625" style="28"/>
    <col min="2" max="2" width="58" style="28" customWidth="1"/>
    <col min="3" max="11" width="16.7109375" style="28" customWidth="1"/>
    <col min="12" max="12" width="14.42578125" style="28" customWidth="1"/>
    <col min="13" max="13" width="9.140625" style="28"/>
    <col min="14" max="14" width="10.140625" style="28" bestFit="1" customWidth="1"/>
    <col min="15" max="16384" width="9.140625" style="28"/>
  </cols>
  <sheetData>
    <row r="1" spans="1:15" x14ac:dyDescent="0.25">
      <c r="J1" s="27"/>
    </row>
    <row r="2" spans="1:15" x14ac:dyDescent="0.25">
      <c r="B2" s="29" t="s">
        <v>0</v>
      </c>
    </row>
    <row r="3" spans="1:15" x14ac:dyDescent="0.25">
      <c r="K3" s="30" t="s">
        <v>1</v>
      </c>
    </row>
    <row r="4" spans="1:15" x14ac:dyDescent="0.25">
      <c r="A4" s="20" t="s">
        <v>2</v>
      </c>
      <c r="B4" s="4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43</v>
      </c>
    </row>
    <row r="5" spans="1:15" ht="47.25" x14ac:dyDescent="0.25">
      <c r="A5" s="5" t="s">
        <v>13</v>
      </c>
      <c r="B5" s="6" t="s">
        <v>14</v>
      </c>
      <c r="C5" s="7">
        <f>C6</f>
        <v>468936</v>
      </c>
      <c r="D5" s="7">
        <v>456264</v>
      </c>
      <c r="E5" s="7">
        <v>392976</v>
      </c>
      <c r="F5" s="7">
        <v>374760</v>
      </c>
      <c r="G5" s="7">
        <v>421344</v>
      </c>
      <c r="H5" s="7">
        <v>482040</v>
      </c>
      <c r="I5" s="7">
        <v>621000</v>
      </c>
      <c r="J5" s="7">
        <v>665328</v>
      </c>
      <c r="K5" s="7">
        <v>968112</v>
      </c>
      <c r="L5" s="34">
        <f>SUM(C5:K5)</f>
        <v>4850760</v>
      </c>
    </row>
    <row r="6" spans="1:15" x14ac:dyDescent="0.25">
      <c r="A6" s="5" t="s">
        <v>15</v>
      </c>
      <c r="B6" s="9" t="s">
        <v>16</v>
      </c>
      <c r="C6" s="7">
        <v>468936</v>
      </c>
      <c r="D6" s="7">
        <v>456264</v>
      </c>
      <c r="E6" s="7">
        <v>392976</v>
      </c>
      <c r="F6" s="7">
        <v>374760</v>
      </c>
      <c r="G6" s="7">
        <v>421344</v>
      </c>
      <c r="H6" s="7">
        <v>482040</v>
      </c>
      <c r="I6" s="7">
        <v>621000</v>
      </c>
      <c r="J6" s="7">
        <v>665328</v>
      </c>
      <c r="K6" s="7">
        <v>968112</v>
      </c>
      <c r="L6" s="34">
        <f t="shared" ref="L6:L30" si="0">SUM(C6:K6)</f>
        <v>4850760</v>
      </c>
    </row>
    <row r="7" spans="1:15" x14ac:dyDescent="0.25">
      <c r="A7" s="5"/>
      <c r="B7" s="9" t="s">
        <v>17</v>
      </c>
      <c r="C7" s="7">
        <v>468936</v>
      </c>
      <c r="D7" s="7">
        <v>456264</v>
      </c>
      <c r="E7" s="7">
        <v>392976</v>
      </c>
      <c r="F7" s="7">
        <v>374760</v>
      </c>
      <c r="G7" s="7">
        <v>421344</v>
      </c>
      <c r="H7" s="7">
        <v>482040</v>
      </c>
      <c r="I7" s="7">
        <v>621000</v>
      </c>
      <c r="J7" s="7">
        <v>665328</v>
      </c>
      <c r="K7" s="7">
        <v>968112</v>
      </c>
      <c r="L7" s="34">
        <f t="shared" si="0"/>
        <v>4850760</v>
      </c>
    </row>
    <row r="8" spans="1:15" x14ac:dyDescent="0.25">
      <c r="A8" s="5"/>
      <c r="B8" s="9" t="s">
        <v>18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34">
        <f t="shared" si="0"/>
        <v>0</v>
      </c>
      <c r="N8" s="27"/>
    </row>
    <row r="9" spans="1:15" x14ac:dyDescent="0.25">
      <c r="A9" s="5" t="s">
        <v>19</v>
      </c>
      <c r="B9" s="9" t="s">
        <v>20</v>
      </c>
      <c r="C9" s="7">
        <v>468936</v>
      </c>
      <c r="D9" s="7">
        <v>456264</v>
      </c>
      <c r="E9" s="7">
        <v>392976</v>
      </c>
      <c r="F9" s="7">
        <v>374760</v>
      </c>
      <c r="G9" s="7">
        <v>421344</v>
      </c>
      <c r="H9" s="7">
        <v>482040</v>
      </c>
      <c r="I9" s="7">
        <v>621000</v>
      </c>
      <c r="J9" s="7">
        <v>665328</v>
      </c>
      <c r="K9" s="7">
        <v>968112</v>
      </c>
      <c r="L9" s="34">
        <f t="shared" si="0"/>
        <v>4850760</v>
      </c>
    </row>
    <row r="10" spans="1:15" x14ac:dyDescent="0.25">
      <c r="A10" s="5"/>
      <c r="B10" s="9" t="s">
        <v>17</v>
      </c>
      <c r="C10" s="7">
        <v>468936</v>
      </c>
      <c r="D10" s="7">
        <v>456264</v>
      </c>
      <c r="E10" s="7">
        <v>392976</v>
      </c>
      <c r="F10" s="7">
        <v>374760</v>
      </c>
      <c r="G10" s="7">
        <v>421344</v>
      </c>
      <c r="H10" s="7">
        <v>482040</v>
      </c>
      <c r="I10" s="7">
        <v>621000</v>
      </c>
      <c r="J10" s="7">
        <v>665328</v>
      </c>
      <c r="K10" s="7">
        <v>968112</v>
      </c>
      <c r="L10" s="34">
        <f t="shared" si="0"/>
        <v>4850760</v>
      </c>
    </row>
    <row r="11" spans="1:15" x14ac:dyDescent="0.25">
      <c r="A11" s="5"/>
      <c r="B11" s="9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34">
        <f t="shared" si="0"/>
        <v>0</v>
      </c>
    </row>
    <row r="12" spans="1:15" x14ac:dyDescent="0.25">
      <c r="A12" s="5" t="s">
        <v>21</v>
      </c>
      <c r="B12" s="6" t="s">
        <v>22</v>
      </c>
      <c r="C12" s="7">
        <f>C13+C29</f>
        <v>227483</v>
      </c>
      <c r="D12" s="7">
        <f t="shared" ref="D12:G12" si="1">D13+D29</f>
        <v>198232</v>
      </c>
      <c r="E12" s="7">
        <f t="shared" si="1"/>
        <v>241063</v>
      </c>
      <c r="F12" s="7">
        <f t="shared" si="1"/>
        <v>187368</v>
      </c>
      <c r="G12" s="7">
        <f t="shared" si="1"/>
        <v>272931</v>
      </c>
      <c r="H12" s="7">
        <f t="shared" ref="H12" si="2">H13+H29</f>
        <v>452778</v>
      </c>
      <c r="I12" s="7">
        <f t="shared" ref="I12" si="3">I13+I29</f>
        <v>402258</v>
      </c>
      <c r="J12" s="7">
        <f t="shared" ref="J12:K12" si="4">J13+J29</f>
        <v>818740</v>
      </c>
      <c r="K12" s="7">
        <f t="shared" si="4"/>
        <v>568180</v>
      </c>
      <c r="L12" s="34">
        <f t="shared" si="0"/>
        <v>3369033</v>
      </c>
    </row>
    <row r="13" spans="1:15" s="29" customFormat="1" ht="31.5" x14ac:dyDescent="0.25">
      <c r="A13" s="5" t="s">
        <v>23</v>
      </c>
      <c r="B13" s="9" t="s">
        <v>24</v>
      </c>
      <c r="C13" s="7">
        <f>C14+C17</f>
        <v>227483</v>
      </c>
      <c r="D13" s="7">
        <f t="shared" ref="D13:E13" si="5">D14+D17</f>
        <v>198232</v>
      </c>
      <c r="E13" s="7">
        <f t="shared" si="5"/>
        <v>241063</v>
      </c>
      <c r="F13" s="7">
        <f>F14+F17</f>
        <v>187368</v>
      </c>
      <c r="G13" s="7">
        <f>G14+G17</f>
        <v>272931</v>
      </c>
      <c r="H13" s="7">
        <f>H14+H17</f>
        <v>452778</v>
      </c>
      <c r="I13" s="7">
        <f>I14+I17</f>
        <v>402258</v>
      </c>
      <c r="J13" s="7">
        <f t="shared" ref="J13" si="6">J14+J17</f>
        <v>818740</v>
      </c>
      <c r="K13" s="7">
        <f t="shared" ref="K13" si="7">K14+K17</f>
        <v>568180</v>
      </c>
      <c r="L13" s="34">
        <f t="shared" si="0"/>
        <v>3369033</v>
      </c>
      <c r="N13" s="31"/>
    </row>
    <row r="14" spans="1:15" s="29" customFormat="1" ht="31.5" x14ac:dyDescent="0.25">
      <c r="A14" s="12" t="s">
        <v>25</v>
      </c>
      <c r="B14" s="9" t="s">
        <v>26</v>
      </c>
      <c r="C14" s="7">
        <v>0</v>
      </c>
      <c r="D14" s="7">
        <v>0</v>
      </c>
      <c r="E14" s="7">
        <v>0</v>
      </c>
      <c r="F14" s="7">
        <v>14083</v>
      </c>
      <c r="G14" s="7">
        <v>57322</v>
      </c>
      <c r="H14" s="7">
        <v>132503</v>
      </c>
      <c r="I14" s="7">
        <v>114154</v>
      </c>
      <c r="J14" s="7">
        <v>516755</v>
      </c>
      <c r="K14" s="7">
        <v>260816</v>
      </c>
      <c r="L14" s="34">
        <f t="shared" si="0"/>
        <v>1095633</v>
      </c>
    </row>
    <row r="15" spans="1:15" x14ac:dyDescent="0.25">
      <c r="A15" s="12"/>
      <c r="B15" s="9" t="s">
        <v>17</v>
      </c>
      <c r="C15" s="7"/>
      <c r="D15" s="7"/>
      <c r="E15" s="7">
        <v>0</v>
      </c>
      <c r="F15" s="7">
        <v>0</v>
      </c>
      <c r="G15" s="7">
        <v>0</v>
      </c>
      <c r="H15" s="7">
        <v>132503</v>
      </c>
      <c r="I15" s="7">
        <v>114154</v>
      </c>
      <c r="J15" s="7">
        <v>516755</v>
      </c>
      <c r="K15" s="7">
        <v>260816</v>
      </c>
      <c r="L15" s="34">
        <f t="shared" si="0"/>
        <v>1024228</v>
      </c>
      <c r="O15" s="27"/>
    </row>
    <row r="16" spans="1:15" x14ac:dyDescent="0.25">
      <c r="A16" s="12"/>
      <c r="B16" s="9" t="s">
        <v>18</v>
      </c>
      <c r="C16" s="7">
        <v>0</v>
      </c>
      <c r="D16" s="7">
        <v>0</v>
      </c>
      <c r="E16" s="7">
        <v>0</v>
      </c>
      <c r="F16" s="7"/>
      <c r="G16" s="7">
        <v>111265</v>
      </c>
      <c r="H16" s="7">
        <v>0</v>
      </c>
      <c r="I16" s="7">
        <v>0</v>
      </c>
      <c r="J16" s="7">
        <v>0</v>
      </c>
      <c r="K16" s="7">
        <v>0</v>
      </c>
      <c r="L16" s="34">
        <f t="shared" si="0"/>
        <v>111265</v>
      </c>
    </row>
    <row r="17" spans="1:14" ht="31.5" x14ac:dyDescent="0.25">
      <c r="A17" s="12" t="s">
        <v>27</v>
      </c>
      <c r="B17" s="9" t="s">
        <v>28</v>
      </c>
      <c r="C17" s="7">
        <f>C20+C23+C26</f>
        <v>227483</v>
      </c>
      <c r="D17" s="7">
        <f t="shared" ref="D17:I17" si="8">D20+D23+D26</f>
        <v>198232</v>
      </c>
      <c r="E17" s="7">
        <f t="shared" si="8"/>
        <v>241063</v>
      </c>
      <c r="F17" s="7">
        <f t="shared" si="8"/>
        <v>173285</v>
      </c>
      <c r="G17" s="7">
        <f t="shared" si="8"/>
        <v>215609</v>
      </c>
      <c r="H17" s="7">
        <f t="shared" si="8"/>
        <v>320275</v>
      </c>
      <c r="I17" s="7">
        <f t="shared" si="8"/>
        <v>288104</v>
      </c>
      <c r="J17" s="7">
        <f>J20+J23+J26</f>
        <v>301985</v>
      </c>
      <c r="K17" s="7">
        <f>K20+K23+K26</f>
        <v>307364</v>
      </c>
      <c r="L17" s="34">
        <f>SUM(C17:K17)</f>
        <v>2273400</v>
      </c>
    </row>
    <row r="18" spans="1:14" x14ac:dyDescent="0.25">
      <c r="A18" s="12"/>
      <c r="B18" s="9" t="s">
        <v>17</v>
      </c>
      <c r="C18" s="7">
        <v>0</v>
      </c>
      <c r="D18" s="7">
        <v>0</v>
      </c>
      <c r="E18" s="7"/>
      <c r="F18" s="7"/>
      <c r="G18" s="7"/>
      <c r="H18" s="7">
        <v>76591</v>
      </c>
      <c r="I18" s="7">
        <v>41096</v>
      </c>
      <c r="J18" s="7">
        <v>43177</v>
      </c>
      <c r="K18" s="7">
        <v>43341</v>
      </c>
      <c r="L18" s="34">
        <f t="shared" si="0"/>
        <v>204205</v>
      </c>
    </row>
    <row r="19" spans="1:14" x14ac:dyDescent="0.25">
      <c r="A19" s="12"/>
      <c r="B19" s="9" t="s">
        <v>18</v>
      </c>
      <c r="C19" s="7">
        <v>227483</v>
      </c>
      <c r="D19" s="7">
        <v>198232</v>
      </c>
      <c r="E19" s="7">
        <v>241063</v>
      </c>
      <c r="F19" s="7">
        <v>173285</v>
      </c>
      <c r="G19" s="7">
        <v>215609</v>
      </c>
      <c r="H19" s="7">
        <v>243684</v>
      </c>
      <c r="I19" s="7">
        <v>247008</v>
      </c>
      <c r="J19" s="7">
        <v>258808</v>
      </c>
      <c r="K19" s="7">
        <v>264023</v>
      </c>
      <c r="L19" s="34">
        <f t="shared" si="0"/>
        <v>2069195</v>
      </c>
    </row>
    <row r="20" spans="1:14" x14ac:dyDescent="0.25">
      <c r="A20" s="12" t="s">
        <v>40</v>
      </c>
      <c r="B20" s="9" t="s">
        <v>29</v>
      </c>
      <c r="C20" s="7">
        <v>227483</v>
      </c>
      <c r="D20" s="7">
        <v>198232</v>
      </c>
      <c r="E20" s="7">
        <v>241063</v>
      </c>
      <c r="F20" s="7">
        <v>173285</v>
      </c>
      <c r="G20" s="7">
        <v>215609</v>
      </c>
      <c r="H20" s="7">
        <v>0</v>
      </c>
      <c r="I20" s="7">
        <v>0</v>
      </c>
      <c r="J20" s="7">
        <v>0</v>
      </c>
      <c r="K20" s="7">
        <v>0</v>
      </c>
      <c r="L20" s="34">
        <f t="shared" si="0"/>
        <v>1055672</v>
      </c>
    </row>
    <row r="21" spans="1:14" x14ac:dyDescent="0.25">
      <c r="A21" s="20"/>
      <c r="B21" s="9" t="s">
        <v>17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34">
        <f t="shared" si="0"/>
        <v>0</v>
      </c>
    </row>
    <row r="22" spans="1:14" x14ac:dyDescent="0.25">
      <c r="A22" s="20"/>
      <c r="B22" s="9" t="s">
        <v>18</v>
      </c>
      <c r="C22" s="7">
        <v>227483</v>
      </c>
      <c r="D22" s="7">
        <v>198232</v>
      </c>
      <c r="E22" s="7">
        <v>241063</v>
      </c>
      <c r="F22" s="7">
        <v>173285</v>
      </c>
      <c r="G22" s="7">
        <v>215609</v>
      </c>
      <c r="H22" s="7">
        <v>0</v>
      </c>
      <c r="I22" s="7">
        <v>0</v>
      </c>
      <c r="J22" s="7">
        <v>0</v>
      </c>
      <c r="K22" s="7">
        <v>0</v>
      </c>
      <c r="L22" s="34">
        <f>SUM(C22:K22)</f>
        <v>1055672</v>
      </c>
    </row>
    <row r="23" spans="1:14" ht="63" x14ac:dyDescent="0.25">
      <c r="A23" s="20" t="s">
        <v>41</v>
      </c>
      <c r="B23" s="13" t="s">
        <v>30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102460</v>
      </c>
      <c r="I23" s="7">
        <v>105115</v>
      </c>
      <c r="J23" s="7">
        <v>107325</v>
      </c>
      <c r="K23" s="7">
        <v>105750</v>
      </c>
      <c r="L23" s="34">
        <f t="shared" si="0"/>
        <v>420650</v>
      </c>
      <c r="N23" s="27"/>
    </row>
    <row r="24" spans="1:14" x14ac:dyDescent="0.25">
      <c r="A24" s="20"/>
      <c r="B24" s="9" t="s">
        <v>17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9770</v>
      </c>
      <c r="I24" s="7">
        <v>11905</v>
      </c>
      <c r="J24" s="7">
        <v>12425</v>
      </c>
      <c r="K24" s="7">
        <v>12685</v>
      </c>
      <c r="L24" s="34">
        <f t="shared" si="0"/>
        <v>46785</v>
      </c>
    </row>
    <row r="25" spans="1:14" x14ac:dyDescent="0.25">
      <c r="A25" s="20"/>
      <c r="B25" s="9" t="s">
        <v>18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92690</v>
      </c>
      <c r="I25" s="7">
        <v>93210</v>
      </c>
      <c r="J25" s="7">
        <v>94900</v>
      </c>
      <c r="K25" s="7">
        <v>93065</v>
      </c>
      <c r="L25" s="34">
        <f t="shared" si="0"/>
        <v>373865</v>
      </c>
    </row>
    <row r="26" spans="1:14" ht="63" x14ac:dyDescent="0.25">
      <c r="A26" s="20" t="s">
        <v>42</v>
      </c>
      <c r="B26" s="13" t="s">
        <v>31</v>
      </c>
      <c r="C26" s="7">
        <v>0</v>
      </c>
      <c r="D26" s="7">
        <v>0</v>
      </c>
      <c r="E26" s="7">
        <v>0</v>
      </c>
      <c r="F26" s="7">
        <v>0</v>
      </c>
      <c r="G26" s="7"/>
      <c r="H26" s="7">
        <v>217815</v>
      </c>
      <c r="I26" s="7">
        <v>182989</v>
      </c>
      <c r="J26" s="7">
        <v>194660</v>
      </c>
      <c r="K26" s="7">
        <v>201614</v>
      </c>
      <c r="L26" s="34">
        <f t="shared" si="0"/>
        <v>797078</v>
      </c>
    </row>
    <row r="27" spans="1:14" x14ac:dyDescent="0.25">
      <c r="A27" s="20"/>
      <c r="B27" s="9" t="s">
        <v>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66821</v>
      </c>
      <c r="I27" s="7">
        <v>29191</v>
      </c>
      <c r="J27" s="7">
        <v>30752</v>
      </c>
      <c r="K27" s="7">
        <v>30656</v>
      </c>
      <c r="L27" s="34">
        <f t="shared" si="0"/>
        <v>157420</v>
      </c>
    </row>
    <row r="28" spans="1:14" x14ac:dyDescent="0.25">
      <c r="A28" s="20"/>
      <c r="B28" s="9" t="s">
        <v>18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150994</v>
      </c>
      <c r="I28" s="7">
        <v>153798</v>
      </c>
      <c r="J28" s="7">
        <v>163908</v>
      </c>
      <c r="K28" s="7">
        <v>170958</v>
      </c>
      <c r="L28" s="34">
        <f t="shared" si="0"/>
        <v>639658</v>
      </c>
    </row>
    <row r="29" spans="1:14" x14ac:dyDescent="0.25">
      <c r="A29" s="5" t="s">
        <v>32</v>
      </c>
      <c r="B29" s="9" t="s">
        <v>33</v>
      </c>
      <c r="C29" s="7"/>
      <c r="D29" s="7"/>
      <c r="E29" s="7"/>
      <c r="F29" s="7"/>
      <c r="G29" s="7"/>
      <c r="H29" s="7"/>
      <c r="I29" s="7"/>
      <c r="J29" s="7"/>
      <c r="K29" s="7"/>
      <c r="L29" s="34">
        <f t="shared" si="0"/>
        <v>0</v>
      </c>
    </row>
    <row r="30" spans="1:14" ht="31.5" x14ac:dyDescent="0.25">
      <c r="A30" s="5"/>
      <c r="B30" s="6" t="s">
        <v>34</v>
      </c>
      <c r="C30" s="7">
        <v>241453</v>
      </c>
      <c r="D30" s="7">
        <v>258032</v>
      </c>
      <c r="E30" s="7">
        <v>151913</v>
      </c>
      <c r="F30" s="7">
        <v>187392</v>
      </c>
      <c r="G30" s="7">
        <v>148413</v>
      </c>
      <c r="H30" s="7">
        <v>29262</v>
      </c>
      <c r="I30" s="7">
        <v>218742</v>
      </c>
      <c r="J30" s="7">
        <f>J5-J12</f>
        <v>-153412</v>
      </c>
      <c r="K30" s="7">
        <v>399932</v>
      </c>
      <c r="L30" s="34">
        <f t="shared" si="0"/>
        <v>1481727</v>
      </c>
    </row>
    <row r="31" spans="1:14" x14ac:dyDescent="0.25">
      <c r="A31" s="5"/>
      <c r="B31" s="6" t="s">
        <v>35</v>
      </c>
      <c r="C31" s="32">
        <f t="shared" ref="C31:I31" si="9">C30/C5</f>
        <v>0.51489542282955458</v>
      </c>
      <c r="D31" s="32">
        <f t="shared" si="9"/>
        <v>0.56553223572317779</v>
      </c>
      <c r="E31" s="32">
        <f t="shared" si="9"/>
        <v>0.38657068116119053</v>
      </c>
      <c r="F31" s="32">
        <f t="shared" si="9"/>
        <v>0.50003202049311557</v>
      </c>
      <c r="G31" s="32">
        <f t="shared" si="9"/>
        <v>0.35223712690817954</v>
      </c>
      <c r="H31" s="32">
        <f t="shared" si="9"/>
        <v>6.0704505850136918E-2</v>
      </c>
      <c r="I31" s="32">
        <f t="shared" si="9"/>
        <v>0.35224154589371981</v>
      </c>
      <c r="J31" s="7">
        <v>0</v>
      </c>
      <c r="K31" s="32">
        <f>K30/K5</f>
        <v>0.41310509527823225</v>
      </c>
      <c r="L31" s="32">
        <f>L30/L5</f>
        <v>0.30546285530514805</v>
      </c>
    </row>
    <row r="32" spans="1:14" x14ac:dyDescent="0.25">
      <c r="A32" s="17"/>
      <c r="B32" s="18"/>
      <c r="C32" s="33"/>
      <c r="D32" s="33"/>
      <c r="E32" s="33"/>
      <c r="F32" s="33"/>
      <c r="G32" s="33"/>
      <c r="H32" s="33"/>
      <c r="I32" s="33"/>
      <c r="J32" s="19"/>
      <c r="K32" s="33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00B050"/>
  </sheetPr>
  <dimension ref="A2:S34"/>
  <sheetViews>
    <sheetView workbookViewId="0">
      <pane xSplit="2" ySplit="4" topLeftCell="G29" activePane="bottomRight" state="frozen"/>
      <selection pane="topRight" activeCell="C1" sqref="C1"/>
      <selection pane="bottomLeft" activeCell="A5" sqref="A5"/>
      <selection pane="bottomRight" activeCell="D34" sqref="D34:O123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36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980064</v>
      </c>
      <c r="D5" s="7">
        <f t="shared" si="0"/>
        <v>1128024</v>
      </c>
      <c r="E5" s="7">
        <f t="shared" si="0"/>
        <v>867384</v>
      </c>
      <c r="F5" s="7">
        <f t="shared" si="0"/>
        <v>661006</v>
      </c>
      <c r="G5" s="7">
        <f t="shared" si="0"/>
        <v>679729</v>
      </c>
      <c r="H5" s="7">
        <f t="shared" si="0"/>
        <v>1126842</v>
      </c>
      <c r="I5" s="7">
        <f t="shared" si="0"/>
        <v>1047606</v>
      </c>
      <c r="J5" s="7">
        <f t="shared" si="0"/>
        <v>1098831</v>
      </c>
      <c r="K5" s="7">
        <f t="shared" si="0"/>
        <v>1302095</v>
      </c>
      <c r="L5" s="7">
        <f t="shared" si="0"/>
        <v>1497120</v>
      </c>
      <c r="M5" s="7">
        <f t="shared" si="0"/>
        <v>1752606</v>
      </c>
      <c r="N5" s="7">
        <f>N6</f>
        <v>1967202</v>
      </c>
      <c r="O5" s="7">
        <f>O6</f>
        <v>14108509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G6" si="1">SUM(C7:C8)</f>
        <v>980064</v>
      </c>
      <c r="D6" s="7">
        <f t="shared" si="1"/>
        <v>1128024</v>
      </c>
      <c r="E6" s="7">
        <f t="shared" si="1"/>
        <v>867384</v>
      </c>
      <c r="F6" s="7">
        <f t="shared" si="1"/>
        <v>661006</v>
      </c>
      <c r="G6" s="7">
        <f t="shared" si="1"/>
        <v>679729</v>
      </c>
      <c r="H6" s="7">
        <f t="shared" ref="H6:I6" si="2">SUM(H7:H8)</f>
        <v>1126842</v>
      </c>
      <c r="I6" s="7">
        <f t="shared" si="2"/>
        <v>1047606</v>
      </c>
      <c r="J6" s="7">
        <f t="shared" ref="J6:K6" si="3">SUM(J7:J8)</f>
        <v>1098831</v>
      </c>
      <c r="K6" s="7">
        <f t="shared" si="3"/>
        <v>1302095</v>
      </c>
      <c r="L6" s="7">
        <f t="shared" ref="L6:N6" si="4">SUM(L7:L8)</f>
        <v>1497120</v>
      </c>
      <c r="M6" s="7">
        <f t="shared" si="4"/>
        <v>1752606</v>
      </c>
      <c r="N6" s="7">
        <f t="shared" si="4"/>
        <v>1967202</v>
      </c>
      <c r="O6" s="7">
        <f t="shared" ref="O6" si="5">SUM(O7:O8)</f>
        <v>14108509</v>
      </c>
    </row>
    <row r="7" spans="1:18" x14ac:dyDescent="0.25">
      <c r="A7" s="5"/>
      <c r="B7" s="10" t="s">
        <v>17</v>
      </c>
      <c r="C7" s="7">
        <f>C10</f>
        <v>980064</v>
      </c>
      <c r="D7" s="7">
        <f t="shared" ref="D7:E7" si="6">D10</f>
        <v>1128024</v>
      </c>
      <c r="E7" s="7">
        <f t="shared" si="6"/>
        <v>867384</v>
      </c>
      <c r="F7" s="7">
        <f t="shared" ref="F7:K7" si="7">F10</f>
        <v>661006</v>
      </c>
      <c r="G7" s="7">
        <f t="shared" si="7"/>
        <v>679729</v>
      </c>
      <c r="H7" s="7">
        <f t="shared" si="7"/>
        <v>1126842</v>
      </c>
      <c r="I7" s="7">
        <f t="shared" si="7"/>
        <v>1047606</v>
      </c>
      <c r="J7" s="7">
        <f t="shared" si="7"/>
        <v>1098831</v>
      </c>
      <c r="K7" s="7">
        <f t="shared" si="7"/>
        <v>1302095</v>
      </c>
      <c r="L7" s="7">
        <v>1497120</v>
      </c>
      <c r="M7" s="7">
        <v>1752606</v>
      </c>
      <c r="N7" s="7">
        <v>1967202</v>
      </c>
      <c r="O7" s="22">
        <f>SUM(C7:N7)</f>
        <v>14108509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3"/>
      <c r="I8" s="3"/>
      <c r="J8" s="3"/>
      <c r="K8" s="3"/>
      <c r="L8" s="3"/>
      <c r="M8" s="3"/>
      <c r="N8" s="3"/>
      <c r="O8" s="3"/>
    </row>
    <row r="9" spans="1:18" x14ac:dyDescent="0.25">
      <c r="A9" s="5" t="s">
        <v>19</v>
      </c>
      <c r="B9" s="10" t="s">
        <v>20</v>
      </c>
      <c r="C9" s="11">
        <f t="shared" ref="C9:H9" si="8">SUM(C10:C11)</f>
        <v>980064</v>
      </c>
      <c r="D9" s="11">
        <f t="shared" si="8"/>
        <v>1128024</v>
      </c>
      <c r="E9" s="11">
        <f t="shared" si="8"/>
        <v>867384</v>
      </c>
      <c r="F9" s="11">
        <f t="shared" si="8"/>
        <v>661006</v>
      </c>
      <c r="G9" s="11">
        <f t="shared" si="8"/>
        <v>679729</v>
      </c>
      <c r="H9" s="11">
        <f t="shared" si="8"/>
        <v>1126842</v>
      </c>
      <c r="I9" s="11">
        <f t="shared" ref="I9:J9" si="9">SUM(I10:I11)</f>
        <v>1047606</v>
      </c>
      <c r="J9" s="11">
        <f t="shared" si="9"/>
        <v>1098831</v>
      </c>
      <c r="K9" s="11">
        <f t="shared" ref="K9" si="10">SUM(K10:K11)</f>
        <v>1302095</v>
      </c>
      <c r="L9" s="11">
        <f>SUM(L10:L11)</f>
        <v>1497120</v>
      </c>
      <c r="M9" s="11">
        <f>SUM(M10:M11)</f>
        <v>1752606</v>
      </c>
      <c r="N9" s="11">
        <f>SUM(N10:N11)</f>
        <v>1967202</v>
      </c>
      <c r="O9" s="11">
        <f>SUM(O10:O11)</f>
        <v>14108509</v>
      </c>
    </row>
    <row r="10" spans="1:18" x14ac:dyDescent="0.25">
      <c r="A10" s="5"/>
      <c r="B10" s="10" t="s">
        <v>17</v>
      </c>
      <c r="C10" s="11">
        <v>980064</v>
      </c>
      <c r="D10" s="11">
        <v>1128024</v>
      </c>
      <c r="E10" s="11">
        <v>867384</v>
      </c>
      <c r="F10" s="11">
        <v>661006</v>
      </c>
      <c r="G10" s="11">
        <v>679729</v>
      </c>
      <c r="H10" s="11">
        <v>1126842</v>
      </c>
      <c r="I10" s="11">
        <v>1047606</v>
      </c>
      <c r="J10" s="11">
        <v>1098831</v>
      </c>
      <c r="K10" s="11">
        <v>1302095</v>
      </c>
      <c r="L10" s="7">
        <v>1497120</v>
      </c>
      <c r="M10" s="7">
        <v>1752606</v>
      </c>
      <c r="N10" s="7">
        <v>1967202</v>
      </c>
      <c r="O10" s="22">
        <f>SUM(C10:N10)</f>
        <v>14108509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3"/>
      <c r="I11" s="3"/>
      <c r="J11" s="3"/>
      <c r="K11" s="3"/>
      <c r="L11" s="3"/>
      <c r="M11" s="3"/>
      <c r="N11" s="3"/>
      <c r="O11" s="3"/>
    </row>
    <row r="12" spans="1:18" x14ac:dyDescent="0.25">
      <c r="A12" s="5" t="s">
        <v>21</v>
      </c>
      <c r="B12" s="6" t="s">
        <v>22</v>
      </c>
      <c r="C12" s="7">
        <f>C13+C29</f>
        <v>660451</v>
      </c>
      <c r="D12" s="7">
        <f t="shared" ref="D12:G12" si="11">D13+D29</f>
        <v>853521</v>
      </c>
      <c r="E12" s="7">
        <f>E13+E29</f>
        <v>707401</v>
      </c>
      <c r="F12" s="7">
        <f>F13+F29</f>
        <v>681891</v>
      </c>
      <c r="G12" s="7">
        <f t="shared" si="11"/>
        <v>625392</v>
      </c>
      <c r="H12" s="7">
        <f t="shared" ref="H12:O12" si="12">H13+H29</f>
        <v>1040002</v>
      </c>
      <c r="I12" s="7">
        <f t="shared" si="12"/>
        <v>836272</v>
      </c>
      <c r="J12" s="7">
        <f t="shared" si="12"/>
        <v>1051756</v>
      </c>
      <c r="K12" s="7">
        <f t="shared" si="12"/>
        <v>1252807</v>
      </c>
      <c r="L12" s="7">
        <f t="shared" si="12"/>
        <v>1306625</v>
      </c>
      <c r="M12" s="7">
        <f t="shared" si="12"/>
        <v>1606717</v>
      </c>
      <c r="N12" s="7">
        <f t="shared" si="12"/>
        <v>1857331</v>
      </c>
      <c r="O12" s="7">
        <f t="shared" si="12"/>
        <v>12480166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660451</v>
      </c>
      <c r="D13" s="7">
        <f t="shared" ref="D13:G13" si="13">D14+D17+D29</f>
        <v>853521</v>
      </c>
      <c r="E13" s="7">
        <f>E14+E17+E29</f>
        <v>707401</v>
      </c>
      <c r="F13" s="7">
        <f t="shared" si="13"/>
        <v>681891</v>
      </c>
      <c r="G13" s="7">
        <f t="shared" si="13"/>
        <v>625392</v>
      </c>
      <c r="H13" s="7">
        <f t="shared" ref="H13:N13" si="14">H14+H17+H29</f>
        <v>1040002</v>
      </c>
      <c r="I13" s="7">
        <f t="shared" si="14"/>
        <v>836272</v>
      </c>
      <c r="J13" s="7">
        <f t="shared" si="14"/>
        <v>1051756</v>
      </c>
      <c r="K13" s="7">
        <f t="shared" si="14"/>
        <v>1252807</v>
      </c>
      <c r="L13" s="7">
        <f t="shared" si="14"/>
        <v>1306625</v>
      </c>
      <c r="M13" s="7">
        <f t="shared" si="14"/>
        <v>1606717</v>
      </c>
      <c r="N13" s="7">
        <f t="shared" si="14"/>
        <v>1857331</v>
      </c>
      <c r="O13" s="7">
        <f>O14+O17+O29</f>
        <v>12480166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15">SUM(C15:C16)</f>
        <v>304170</v>
      </c>
      <c r="D14" s="7">
        <f t="shared" si="15"/>
        <v>490232</v>
      </c>
      <c r="E14" s="7">
        <f>SUM(E15:E16)</f>
        <v>387725</v>
      </c>
      <c r="F14" s="7">
        <f t="shared" si="15"/>
        <v>364199</v>
      </c>
      <c r="G14" s="7">
        <f t="shared" si="15"/>
        <v>312659</v>
      </c>
      <c r="H14" s="7">
        <f t="shared" si="15"/>
        <v>306219</v>
      </c>
      <c r="I14" s="7">
        <f t="shared" si="15"/>
        <v>299188</v>
      </c>
      <c r="J14" s="7">
        <f t="shared" ref="J14:N14" si="16">SUM(J15:J16)</f>
        <v>422468</v>
      </c>
      <c r="K14" s="7">
        <f t="shared" si="16"/>
        <v>502825</v>
      </c>
      <c r="L14" s="7">
        <f t="shared" si="16"/>
        <v>612192</v>
      </c>
      <c r="M14" s="7">
        <f t="shared" si="16"/>
        <v>774515</v>
      </c>
      <c r="N14" s="7">
        <f t="shared" si="16"/>
        <v>888745</v>
      </c>
      <c r="O14" s="7">
        <f>SUM(O15:O16)</f>
        <v>5665137</v>
      </c>
      <c r="Q14" s="8"/>
      <c r="R14" s="8"/>
    </row>
    <row r="15" spans="1:18" x14ac:dyDescent="0.25">
      <c r="A15" s="12"/>
      <c r="B15" s="10" t="s">
        <v>17</v>
      </c>
      <c r="C15" s="11">
        <v>304170</v>
      </c>
      <c r="D15" s="11">
        <v>490232</v>
      </c>
      <c r="E15" s="11">
        <v>382205</v>
      </c>
      <c r="F15" s="11">
        <v>331471</v>
      </c>
      <c r="G15" s="11">
        <v>305226</v>
      </c>
      <c r="H15" s="7">
        <v>272250</v>
      </c>
      <c r="I15" s="3">
        <v>262190</v>
      </c>
      <c r="J15" s="7">
        <v>387649</v>
      </c>
      <c r="K15" s="7">
        <v>448911</v>
      </c>
      <c r="L15" s="7">
        <v>559409</v>
      </c>
      <c r="M15" s="3">
        <v>721137</v>
      </c>
      <c r="N15" s="3">
        <v>835875</v>
      </c>
      <c r="O15" s="22">
        <f>SUM(C15:N15)</f>
        <v>5300725</v>
      </c>
      <c r="Q15" s="8"/>
      <c r="R15" s="8"/>
    </row>
    <row r="16" spans="1:18" x14ac:dyDescent="0.25">
      <c r="A16" s="12"/>
      <c r="B16" s="10" t="s">
        <v>18</v>
      </c>
      <c r="C16" s="11"/>
      <c r="D16" s="11"/>
      <c r="E16" s="11">
        <v>5520</v>
      </c>
      <c r="F16" s="11">
        <v>32728</v>
      </c>
      <c r="G16" s="11">
        <v>7433</v>
      </c>
      <c r="H16" s="7">
        <v>33969</v>
      </c>
      <c r="I16" s="3">
        <v>36998</v>
      </c>
      <c r="J16" s="7">
        <v>34819</v>
      </c>
      <c r="K16" s="7">
        <v>53914</v>
      </c>
      <c r="L16" s="7">
        <v>52783</v>
      </c>
      <c r="M16" s="3">
        <v>53378</v>
      </c>
      <c r="N16" s="3">
        <v>52870</v>
      </c>
      <c r="O16" s="22">
        <f>SUM(C16:N16)</f>
        <v>364412</v>
      </c>
    </row>
    <row r="17" spans="1:19" ht="31.5" x14ac:dyDescent="0.25">
      <c r="A17" s="12" t="s">
        <v>27</v>
      </c>
      <c r="B17" s="10" t="s">
        <v>28</v>
      </c>
      <c r="C17" s="7">
        <f>C20+C23+C26</f>
        <v>356281</v>
      </c>
      <c r="D17" s="7">
        <f t="shared" ref="D17:K17" si="17">D20+D23+D26</f>
        <v>363289</v>
      </c>
      <c r="E17" s="7">
        <f t="shared" si="17"/>
        <v>319676</v>
      </c>
      <c r="F17" s="7">
        <f t="shared" si="17"/>
        <v>317692</v>
      </c>
      <c r="G17" s="7">
        <f t="shared" si="17"/>
        <v>312733</v>
      </c>
      <c r="H17" s="7">
        <f t="shared" si="17"/>
        <v>733783</v>
      </c>
      <c r="I17" s="7">
        <f t="shared" si="17"/>
        <v>537084</v>
      </c>
      <c r="J17" s="7">
        <f t="shared" si="17"/>
        <v>629288</v>
      </c>
      <c r="K17" s="7">
        <f t="shared" si="17"/>
        <v>749982</v>
      </c>
      <c r="L17" s="7">
        <f t="shared" ref="L17" si="18">L20+L23+L26</f>
        <v>694433</v>
      </c>
      <c r="M17" s="7">
        <f>M20+M23+M26</f>
        <v>832202</v>
      </c>
      <c r="N17" s="7">
        <f>N20+N23+N26</f>
        <v>968586</v>
      </c>
      <c r="O17" s="7">
        <f>O20+O23+O26</f>
        <v>6815029</v>
      </c>
      <c r="Q17" s="8"/>
      <c r="R17" s="8"/>
    </row>
    <row r="18" spans="1:19" x14ac:dyDescent="0.25">
      <c r="A18" s="12"/>
      <c r="B18" s="10" t="s">
        <v>17</v>
      </c>
      <c r="C18" s="7">
        <f>C21+C24+C27</f>
        <v>51008</v>
      </c>
      <c r="D18" s="7">
        <f t="shared" ref="C18:G19" si="19">D21+D24+D27</f>
        <v>68675</v>
      </c>
      <c r="E18" s="7">
        <f t="shared" si="19"/>
        <v>85411</v>
      </c>
      <c r="F18" s="7">
        <f t="shared" si="19"/>
        <v>86490</v>
      </c>
      <c r="G18" s="7">
        <f t="shared" si="19"/>
        <v>92387</v>
      </c>
      <c r="H18" s="7">
        <f t="shared" ref="H18:I18" si="20">H21+H24+H27</f>
        <v>483516</v>
      </c>
      <c r="I18" s="7">
        <f t="shared" si="20"/>
        <v>359018</v>
      </c>
      <c r="J18" s="7">
        <f t="shared" ref="J18:K18" si="21">J21+J24+J27</f>
        <v>403284</v>
      </c>
      <c r="K18" s="7">
        <f t="shared" si="21"/>
        <v>491761</v>
      </c>
      <c r="L18" s="7">
        <f t="shared" ref="L18:M18" si="22">L21+L24+L27</f>
        <v>447610</v>
      </c>
      <c r="M18" s="7">
        <f t="shared" si="22"/>
        <v>531321</v>
      </c>
      <c r="N18" s="7">
        <f t="shared" ref="N18:O18" si="23">N21+N24+N27</f>
        <v>652833</v>
      </c>
      <c r="O18" s="7">
        <f t="shared" si="23"/>
        <v>3753314</v>
      </c>
      <c r="Q18" s="8"/>
      <c r="R18" s="8"/>
    </row>
    <row r="19" spans="1:19" x14ac:dyDescent="0.25">
      <c r="A19" s="12"/>
      <c r="B19" s="10" t="s">
        <v>18</v>
      </c>
      <c r="C19" s="7">
        <f t="shared" si="19"/>
        <v>305273</v>
      </c>
      <c r="D19" s="7">
        <f t="shared" si="19"/>
        <v>294614</v>
      </c>
      <c r="E19" s="7">
        <f t="shared" ref="E19:K19" si="24">E22+E25+E28</f>
        <v>234265</v>
      </c>
      <c r="F19" s="7">
        <f t="shared" si="24"/>
        <v>231202</v>
      </c>
      <c r="G19" s="7">
        <f t="shared" si="24"/>
        <v>220346</v>
      </c>
      <c r="H19" s="7">
        <f t="shared" si="24"/>
        <v>250267</v>
      </c>
      <c r="I19" s="7">
        <f t="shared" si="24"/>
        <v>178066</v>
      </c>
      <c r="J19" s="7">
        <f t="shared" si="24"/>
        <v>226004</v>
      </c>
      <c r="K19" s="7">
        <f t="shared" si="24"/>
        <v>258221</v>
      </c>
      <c r="L19" s="7">
        <f t="shared" ref="L19:M19" si="25">L22+L25+L28</f>
        <v>246823</v>
      </c>
      <c r="M19" s="7">
        <f t="shared" si="25"/>
        <v>300881</v>
      </c>
      <c r="N19" s="7">
        <f t="shared" ref="N19:O19" si="26">N22+N25+N28</f>
        <v>315753</v>
      </c>
      <c r="O19" s="7">
        <f t="shared" si="26"/>
        <v>3061715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F20" si="27">SUM(C21:C22)</f>
        <v>0</v>
      </c>
      <c r="D20" s="7">
        <f t="shared" si="27"/>
        <v>0</v>
      </c>
      <c r="E20" s="7">
        <f t="shared" si="27"/>
        <v>0</v>
      </c>
      <c r="F20" s="7">
        <f t="shared" si="27"/>
        <v>0</v>
      </c>
      <c r="G20" s="11"/>
      <c r="H20" s="3"/>
      <c r="I20" s="3"/>
      <c r="J20" s="3"/>
      <c r="K20" s="3"/>
      <c r="L20" s="3"/>
      <c r="M20" s="3"/>
      <c r="N20" s="22">
        <f>SUM(N21:N22)</f>
        <v>6944</v>
      </c>
      <c r="O20" s="22">
        <f>SUM(O21:O22)</f>
        <v>6944</v>
      </c>
    </row>
    <row r="21" spans="1:19" x14ac:dyDescent="0.25">
      <c r="A21" s="3"/>
      <c r="B21" s="10" t="s">
        <v>17</v>
      </c>
      <c r="C21" s="11"/>
      <c r="D21" s="11"/>
      <c r="E21" s="11"/>
      <c r="F21" s="11"/>
      <c r="G21" s="11"/>
      <c r="H21" s="3"/>
      <c r="I21" s="3"/>
      <c r="J21" s="3"/>
      <c r="K21" s="3"/>
      <c r="L21" s="3"/>
      <c r="M21" s="3"/>
      <c r="N21" s="7">
        <v>6944</v>
      </c>
      <c r="O21" s="22">
        <f>SUM(C21:N21)</f>
        <v>6944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</row>
    <row r="23" spans="1:19" ht="63" x14ac:dyDescent="0.25">
      <c r="A23" s="3" t="s">
        <v>41</v>
      </c>
      <c r="B23" s="13" t="s">
        <v>30</v>
      </c>
      <c r="C23" s="11">
        <f t="shared" ref="C23:D23" si="28">SUM(C24:C25)</f>
        <v>111400</v>
      </c>
      <c r="D23" s="11">
        <f t="shared" si="28"/>
        <v>113200</v>
      </c>
      <c r="E23" s="11">
        <f t="shared" ref="E23:O23" si="29">SUM(E24:E25)</f>
        <v>115300</v>
      </c>
      <c r="F23" s="11">
        <f t="shared" si="29"/>
        <v>117900</v>
      </c>
      <c r="G23" s="11">
        <f t="shared" si="29"/>
        <v>122955</v>
      </c>
      <c r="H23" s="7">
        <f t="shared" si="29"/>
        <v>239405</v>
      </c>
      <c r="I23" s="7">
        <f t="shared" si="29"/>
        <v>248495</v>
      </c>
      <c r="J23" s="7">
        <f t="shared" si="29"/>
        <v>258205</v>
      </c>
      <c r="K23" s="7">
        <f t="shared" si="29"/>
        <v>265570</v>
      </c>
      <c r="L23" s="7">
        <f t="shared" si="29"/>
        <v>273375</v>
      </c>
      <c r="M23" s="7">
        <f t="shared" si="29"/>
        <v>278235</v>
      </c>
      <c r="N23" s="7">
        <f t="shared" si="29"/>
        <v>285585</v>
      </c>
      <c r="O23" s="7">
        <f t="shared" si="29"/>
        <v>2429625</v>
      </c>
      <c r="Q23" s="8"/>
      <c r="R23" s="8"/>
    </row>
    <row r="24" spans="1:19" x14ac:dyDescent="0.25">
      <c r="A24" s="3"/>
      <c r="B24" s="10" t="s">
        <v>17</v>
      </c>
      <c r="C24" s="11">
        <v>12685</v>
      </c>
      <c r="D24" s="11">
        <v>13620</v>
      </c>
      <c r="E24" s="11">
        <v>14625</v>
      </c>
      <c r="F24" s="11">
        <v>17040</v>
      </c>
      <c r="G24" s="11">
        <v>21715</v>
      </c>
      <c r="H24" s="7">
        <v>137830</v>
      </c>
      <c r="I24" s="3">
        <v>146585</v>
      </c>
      <c r="J24" s="7">
        <v>155955</v>
      </c>
      <c r="K24" s="7">
        <v>163280</v>
      </c>
      <c r="L24" s="7">
        <v>169365</v>
      </c>
      <c r="M24" s="3">
        <v>174105</v>
      </c>
      <c r="N24" s="3">
        <v>180840</v>
      </c>
      <c r="O24" s="22">
        <f>SUM(C24:N24)</f>
        <v>1207645</v>
      </c>
      <c r="Q24" s="8"/>
      <c r="R24" s="8"/>
    </row>
    <row r="25" spans="1:19" x14ac:dyDescent="0.25">
      <c r="A25" s="3"/>
      <c r="B25" s="10" t="s">
        <v>18</v>
      </c>
      <c r="C25" s="11">
        <v>98715</v>
      </c>
      <c r="D25" s="11">
        <v>99580</v>
      </c>
      <c r="E25" s="11">
        <v>100675</v>
      </c>
      <c r="F25" s="11">
        <v>100860</v>
      </c>
      <c r="G25" s="11">
        <v>101240</v>
      </c>
      <c r="H25" s="7">
        <v>101575</v>
      </c>
      <c r="I25" s="3">
        <v>101910</v>
      </c>
      <c r="J25" s="7">
        <v>102250</v>
      </c>
      <c r="K25" s="7">
        <v>102290</v>
      </c>
      <c r="L25" s="7">
        <v>104010</v>
      </c>
      <c r="M25" s="3">
        <v>104130</v>
      </c>
      <c r="N25" s="3">
        <v>104745</v>
      </c>
      <c r="O25" s="22">
        <f>SUM(C25:N25)</f>
        <v>1221980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D26" si="30">SUM(C27:C28)</f>
        <v>244881</v>
      </c>
      <c r="D26" s="11">
        <f t="shared" si="30"/>
        <v>250089</v>
      </c>
      <c r="E26" s="11">
        <f t="shared" ref="E26:L26" si="31">SUM(E27:E28)</f>
        <v>204376</v>
      </c>
      <c r="F26" s="11">
        <f t="shared" si="31"/>
        <v>199792</v>
      </c>
      <c r="G26" s="11">
        <f t="shared" si="31"/>
        <v>189778</v>
      </c>
      <c r="H26" s="11">
        <f t="shared" si="31"/>
        <v>494378</v>
      </c>
      <c r="I26" s="11">
        <f t="shared" si="31"/>
        <v>288589</v>
      </c>
      <c r="J26" s="11">
        <f t="shared" si="31"/>
        <v>371083</v>
      </c>
      <c r="K26" s="7">
        <f t="shared" si="31"/>
        <v>484412</v>
      </c>
      <c r="L26" s="7">
        <f t="shared" si="31"/>
        <v>421058</v>
      </c>
      <c r="M26" s="7">
        <f>SUM(M27:M28)</f>
        <v>553967</v>
      </c>
      <c r="N26" s="7">
        <f>SUM(N27:N28)</f>
        <v>676057</v>
      </c>
      <c r="O26" s="7">
        <f>SUM(O27:O28)</f>
        <v>4378460</v>
      </c>
      <c r="Q26" s="8"/>
      <c r="R26" s="8"/>
    </row>
    <row r="27" spans="1:19" x14ac:dyDescent="0.25">
      <c r="A27" s="3"/>
      <c r="B27" s="10" t="s">
        <v>17</v>
      </c>
      <c r="C27" s="11">
        <v>38323</v>
      </c>
      <c r="D27" s="11">
        <v>55055</v>
      </c>
      <c r="E27" s="11">
        <v>70786</v>
      </c>
      <c r="F27" s="11">
        <v>69450</v>
      </c>
      <c r="G27" s="11">
        <v>70672</v>
      </c>
      <c r="H27" s="11">
        <v>345686</v>
      </c>
      <c r="I27" s="3">
        <v>212433</v>
      </c>
      <c r="J27" s="3">
        <v>247329</v>
      </c>
      <c r="K27" s="7">
        <v>328481</v>
      </c>
      <c r="L27" s="7">
        <v>278245</v>
      </c>
      <c r="M27" s="3">
        <v>357216</v>
      </c>
      <c r="N27" s="3">
        <v>465049</v>
      </c>
      <c r="O27" s="22">
        <f>SUM(C27:N27)</f>
        <v>2538725</v>
      </c>
      <c r="Q27" s="8"/>
      <c r="R27" s="8"/>
    </row>
    <row r="28" spans="1:19" x14ac:dyDescent="0.25">
      <c r="A28" s="3"/>
      <c r="B28" s="10" t="s">
        <v>18</v>
      </c>
      <c r="C28" s="11">
        <v>206558</v>
      </c>
      <c r="D28" s="11">
        <v>195034</v>
      </c>
      <c r="E28" s="11">
        <v>133590</v>
      </c>
      <c r="F28" s="11">
        <v>130342</v>
      </c>
      <c r="G28" s="11">
        <v>119106</v>
      </c>
      <c r="H28" s="11">
        <v>148692</v>
      </c>
      <c r="I28" s="3">
        <v>76156</v>
      </c>
      <c r="J28" s="3">
        <v>123754</v>
      </c>
      <c r="K28" s="7">
        <v>155931</v>
      </c>
      <c r="L28" s="7">
        <v>142813</v>
      </c>
      <c r="M28" s="3">
        <v>196751</v>
      </c>
      <c r="N28" s="3">
        <v>211008</v>
      </c>
      <c r="O28" s="22">
        <f>SUM(C28:N28)</f>
        <v>1839735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3"/>
      <c r="I29" s="3"/>
      <c r="J29" s="3"/>
      <c r="K29" s="3"/>
      <c r="L29" s="3"/>
      <c r="M29" s="3"/>
      <c r="N29" s="3"/>
      <c r="O29" s="3"/>
    </row>
    <row r="30" spans="1:19" ht="31.5" x14ac:dyDescent="0.25">
      <c r="A30" s="5"/>
      <c r="B30" s="6" t="s">
        <v>34</v>
      </c>
      <c r="C30" s="7">
        <f>C6-C12</f>
        <v>319613</v>
      </c>
      <c r="D30" s="7">
        <f t="shared" ref="D30:N30" si="32">D6-D12</f>
        <v>274503</v>
      </c>
      <c r="E30" s="7">
        <f t="shared" si="32"/>
        <v>159983</v>
      </c>
      <c r="F30" s="7">
        <v>0</v>
      </c>
      <c r="G30" s="7">
        <f t="shared" si="32"/>
        <v>54337</v>
      </c>
      <c r="H30" s="7">
        <f t="shared" si="32"/>
        <v>86840</v>
      </c>
      <c r="I30" s="7">
        <f t="shared" si="32"/>
        <v>211334</v>
      </c>
      <c r="J30" s="7">
        <f t="shared" si="32"/>
        <v>47075</v>
      </c>
      <c r="K30" s="7">
        <f t="shared" si="32"/>
        <v>49288</v>
      </c>
      <c r="L30" s="7">
        <f t="shared" si="32"/>
        <v>190495</v>
      </c>
      <c r="M30" s="7">
        <f t="shared" si="32"/>
        <v>145889</v>
      </c>
      <c r="N30" s="7">
        <f t="shared" si="32"/>
        <v>109871</v>
      </c>
      <c r="O30" s="7">
        <f>O6-O12</f>
        <v>1628343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0.32611441701766414</v>
      </c>
      <c r="D31" s="32">
        <f t="shared" ref="D31:G31" si="33">D30/D5</f>
        <v>0.24334854577562179</v>
      </c>
      <c r="E31" s="32">
        <f t="shared" si="33"/>
        <v>0.18444310708982412</v>
      </c>
      <c r="F31" s="32">
        <f t="shared" si="33"/>
        <v>0</v>
      </c>
      <c r="G31" s="32">
        <f t="shared" si="33"/>
        <v>7.9939211067940316E-2</v>
      </c>
      <c r="H31" s="32">
        <f>H30/H5</f>
        <v>7.7064930132174692E-2</v>
      </c>
      <c r="I31" s="32">
        <f t="shared" ref="I31:O31" si="34">I30/I5</f>
        <v>0.20173042155161386</v>
      </c>
      <c r="J31" s="32">
        <f t="shared" si="34"/>
        <v>4.2840982826294491E-2</v>
      </c>
      <c r="K31" s="32">
        <f t="shared" si="34"/>
        <v>3.7852844838510244E-2</v>
      </c>
      <c r="L31" s="32">
        <f t="shared" si="34"/>
        <v>0.12724096932777601</v>
      </c>
      <c r="M31" s="32">
        <f t="shared" si="34"/>
        <v>8.3241184841316304E-2</v>
      </c>
      <c r="N31" s="32">
        <f t="shared" si="34"/>
        <v>5.5851407227117497E-2</v>
      </c>
      <c r="O31" s="32">
        <f t="shared" si="34"/>
        <v>0.11541566865782911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2:S34"/>
  <sheetViews>
    <sheetView workbookViewId="0">
      <pane xSplit="2" ySplit="4" topLeftCell="J15" activePane="bottomRight" state="frozen"/>
      <selection pane="topRight" activeCell="C1" sqref="C1"/>
      <selection pane="bottomLeft" activeCell="A5" sqref="A5"/>
      <selection pane="bottomRight" activeCell="K20" sqref="K20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44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1817670</v>
      </c>
      <c r="D5" s="7">
        <f t="shared" si="0"/>
        <v>1827268</v>
      </c>
      <c r="E5" s="7">
        <f t="shared" si="0"/>
        <v>1644326</v>
      </c>
      <c r="F5" s="7">
        <f t="shared" si="0"/>
        <v>1180752</v>
      </c>
      <c r="G5" s="7">
        <f t="shared" si="0"/>
        <v>1254228</v>
      </c>
      <c r="H5" s="7">
        <f t="shared" si="0"/>
        <v>1159212</v>
      </c>
      <c r="I5" s="7">
        <f t="shared" si="0"/>
        <v>1212600</v>
      </c>
      <c r="J5" s="7">
        <f t="shared" si="0"/>
        <v>821820</v>
      </c>
      <c r="K5" s="7">
        <f t="shared" si="0"/>
        <v>823756</v>
      </c>
      <c r="L5" s="7">
        <f t="shared" si="0"/>
        <v>1527248</v>
      </c>
      <c r="M5" s="7">
        <f t="shared" si="0"/>
        <v>1793363</v>
      </c>
      <c r="N5" s="7">
        <f>N6</f>
        <v>1777309</v>
      </c>
      <c r="O5" s="7">
        <f>O6</f>
        <v>16839552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1817670</v>
      </c>
      <c r="D6" s="7">
        <f t="shared" si="1"/>
        <v>1827268</v>
      </c>
      <c r="E6" s="7">
        <f t="shared" si="1"/>
        <v>1644326</v>
      </c>
      <c r="F6" s="7">
        <f t="shared" si="1"/>
        <v>1180752</v>
      </c>
      <c r="G6" s="7">
        <f t="shared" si="1"/>
        <v>1254228</v>
      </c>
      <c r="H6" s="7">
        <f t="shared" si="1"/>
        <v>1159212</v>
      </c>
      <c r="I6" s="7">
        <f t="shared" si="1"/>
        <v>1212600</v>
      </c>
      <c r="J6" s="7">
        <f t="shared" si="1"/>
        <v>821820</v>
      </c>
      <c r="K6" s="7">
        <f t="shared" si="1"/>
        <v>823756</v>
      </c>
      <c r="L6" s="7">
        <f t="shared" si="1"/>
        <v>1527248</v>
      </c>
      <c r="M6" s="7">
        <f t="shared" si="1"/>
        <v>1793363</v>
      </c>
      <c r="N6" s="7">
        <f t="shared" si="1"/>
        <v>1777309</v>
      </c>
      <c r="O6" s="7">
        <f t="shared" si="1"/>
        <v>16839552</v>
      </c>
    </row>
    <row r="7" spans="1:18" x14ac:dyDescent="0.25">
      <c r="A7" s="5"/>
      <c r="B7" s="10" t="s">
        <v>17</v>
      </c>
      <c r="C7" s="7">
        <f>C10</f>
        <v>1817670</v>
      </c>
      <c r="D7" s="7">
        <f t="shared" ref="D7:O7" si="2">D10</f>
        <v>1827268</v>
      </c>
      <c r="E7" s="7">
        <f t="shared" si="2"/>
        <v>1644326</v>
      </c>
      <c r="F7" s="7">
        <f t="shared" si="2"/>
        <v>1180752</v>
      </c>
      <c r="G7" s="7">
        <f t="shared" si="2"/>
        <v>1254228</v>
      </c>
      <c r="H7" s="7">
        <f t="shared" si="2"/>
        <v>1159212</v>
      </c>
      <c r="I7" s="7">
        <f t="shared" si="2"/>
        <v>1212600</v>
      </c>
      <c r="J7" s="7">
        <f t="shared" si="2"/>
        <v>821820</v>
      </c>
      <c r="K7" s="7">
        <f t="shared" si="2"/>
        <v>823756</v>
      </c>
      <c r="L7" s="7">
        <f t="shared" si="2"/>
        <v>1527248</v>
      </c>
      <c r="M7" s="7">
        <f t="shared" si="2"/>
        <v>1793363</v>
      </c>
      <c r="N7" s="7">
        <f t="shared" si="2"/>
        <v>1777309</v>
      </c>
      <c r="O7" s="7">
        <f t="shared" si="2"/>
        <v>16839552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8" x14ac:dyDescent="0.25">
      <c r="A9" s="5" t="s">
        <v>19</v>
      </c>
      <c r="B9" s="10" t="s">
        <v>20</v>
      </c>
      <c r="C9" s="11">
        <f t="shared" ref="C9:K9" si="3">SUM(C10:C11)</f>
        <v>1817670</v>
      </c>
      <c r="D9" s="11">
        <f t="shared" si="3"/>
        <v>1827268</v>
      </c>
      <c r="E9" s="11">
        <f t="shared" si="3"/>
        <v>1644326</v>
      </c>
      <c r="F9" s="11">
        <f t="shared" si="3"/>
        <v>1180752</v>
      </c>
      <c r="G9" s="11">
        <f t="shared" si="3"/>
        <v>1254228</v>
      </c>
      <c r="H9" s="11">
        <f t="shared" si="3"/>
        <v>1159212</v>
      </c>
      <c r="I9" s="11">
        <f t="shared" si="3"/>
        <v>1212600</v>
      </c>
      <c r="J9" s="11">
        <f t="shared" si="3"/>
        <v>821820</v>
      </c>
      <c r="K9" s="11">
        <f t="shared" si="3"/>
        <v>823756</v>
      </c>
      <c r="L9" s="11">
        <f>SUM(L10:L11)</f>
        <v>1527248</v>
      </c>
      <c r="M9" s="11">
        <f>SUM(M10:M11)</f>
        <v>1793363</v>
      </c>
      <c r="N9" s="11">
        <f>SUM(N10:N11)</f>
        <v>1777309</v>
      </c>
      <c r="O9" s="11">
        <f>SUM(O10:O11)</f>
        <v>16839552</v>
      </c>
      <c r="Q9" s="1">
        <f>O9/1000000</f>
        <v>16.839552000000001</v>
      </c>
    </row>
    <row r="10" spans="1:18" x14ac:dyDescent="0.25">
      <c r="A10" s="5"/>
      <c r="B10" s="10" t="s">
        <v>17</v>
      </c>
      <c r="C10" s="11">
        <v>1817670</v>
      </c>
      <c r="D10" s="11">
        <v>1827268</v>
      </c>
      <c r="E10" s="11">
        <v>1644326</v>
      </c>
      <c r="F10" s="11">
        <v>1180752</v>
      </c>
      <c r="G10" s="11">
        <v>1254228</v>
      </c>
      <c r="H10" s="11">
        <v>1159212</v>
      </c>
      <c r="I10" s="11">
        <v>1212600</v>
      </c>
      <c r="J10" s="11">
        <v>821820</v>
      </c>
      <c r="K10" s="11">
        <v>823756</v>
      </c>
      <c r="L10" s="11">
        <v>1527248</v>
      </c>
      <c r="M10" s="11">
        <v>1793363</v>
      </c>
      <c r="N10" s="11">
        <v>1777309</v>
      </c>
      <c r="O10" s="11">
        <f>SUM(C10:N10)</f>
        <v>16839552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8" x14ac:dyDescent="0.25">
      <c r="A12" s="5" t="s">
        <v>21</v>
      </c>
      <c r="B12" s="6" t="s">
        <v>22</v>
      </c>
      <c r="C12" s="7">
        <f>C13+C29</f>
        <v>1749414</v>
      </c>
      <c r="D12" s="7">
        <f t="shared" ref="D12:O12" si="4">D13+D29</f>
        <v>1726377</v>
      </c>
      <c r="E12" s="7">
        <f>E13+E29</f>
        <v>1500055</v>
      </c>
      <c r="F12" s="7">
        <f>F13+F29</f>
        <v>1300952</v>
      </c>
      <c r="G12" s="7">
        <f t="shared" si="4"/>
        <v>1199100</v>
      </c>
      <c r="H12" s="7">
        <f t="shared" si="4"/>
        <v>1178304</v>
      </c>
      <c r="I12" s="7">
        <f t="shared" si="4"/>
        <v>1105331</v>
      </c>
      <c r="J12" s="7">
        <f t="shared" si="4"/>
        <v>1167025</v>
      </c>
      <c r="K12" s="7">
        <f t="shared" si="4"/>
        <v>1261597</v>
      </c>
      <c r="L12" s="7">
        <f t="shared" si="4"/>
        <v>1363793</v>
      </c>
      <c r="M12" s="7">
        <f t="shared" si="4"/>
        <v>1595823</v>
      </c>
      <c r="N12" s="7">
        <f t="shared" si="4"/>
        <v>1616661</v>
      </c>
      <c r="O12" s="7">
        <f t="shared" si="4"/>
        <v>16764432</v>
      </c>
      <c r="Q12" s="1">
        <f>O12/1000000</f>
        <v>16.764431999999999</v>
      </c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1749414</v>
      </c>
      <c r="D13" s="7">
        <f t="shared" ref="D13:N13" si="5">D14+D17+D29</f>
        <v>1726377</v>
      </c>
      <c r="E13" s="7">
        <f>E14+E17+E29</f>
        <v>1500055</v>
      </c>
      <c r="F13" s="7">
        <f t="shared" si="5"/>
        <v>1300952</v>
      </c>
      <c r="G13" s="7">
        <f t="shared" si="5"/>
        <v>1199100</v>
      </c>
      <c r="H13" s="7">
        <f t="shared" si="5"/>
        <v>1178304</v>
      </c>
      <c r="I13" s="7">
        <f t="shared" si="5"/>
        <v>1105331</v>
      </c>
      <c r="J13" s="7">
        <f t="shared" si="5"/>
        <v>1167025</v>
      </c>
      <c r="K13" s="7">
        <f t="shared" si="5"/>
        <v>1261597</v>
      </c>
      <c r="L13" s="7">
        <f t="shared" si="5"/>
        <v>1363793</v>
      </c>
      <c r="M13" s="7">
        <f t="shared" si="5"/>
        <v>1595823</v>
      </c>
      <c r="N13" s="7">
        <f t="shared" si="5"/>
        <v>1616661</v>
      </c>
      <c r="O13" s="7">
        <f>O14+O17+O29</f>
        <v>16764432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6">SUM(C15:C16)</f>
        <v>840035</v>
      </c>
      <c r="D14" s="7">
        <f t="shared" si="6"/>
        <v>842899</v>
      </c>
      <c r="E14" s="7">
        <f>SUM(E15:E16)</f>
        <v>715193</v>
      </c>
      <c r="F14" s="7">
        <f t="shared" si="6"/>
        <v>578557</v>
      </c>
      <c r="G14" s="7">
        <f t="shared" si="6"/>
        <v>485968</v>
      </c>
      <c r="H14" s="7">
        <f t="shared" si="6"/>
        <v>467886</v>
      </c>
      <c r="I14" s="7">
        <f t="shared" si="6"/>
        <v>479046</v>
      </c>
      <c r="J14" s="7">
        <f t="shared" ref="J14:N14" si="7">SUM(J15:J16)</f>
        <v>478880</v>
      </c>
      <c r="K14" s="7">
        <f t="shared" si="7"/>
        <v>507016</v>
      </c>
      <c r="L14" s="7">
        <f t="shared" si="7"/>
        <v>584983</v>
      </c>
      <c r="M14" s="7">
        <f t="shared" si="7"/>
        <v>695303</v>
      </c>
      <c r="N14" s="7">
        <f t="shared" si="7"/>
        <v>663521</v>
      </c>
      <c r="O14" s="7">
        <f>SUM(O15:O16)</f>
        <v>7339287</v>
      </c>
      <c r="Q14" s="8"/>
      <c r="R14" s="8"/>
    </row>
    <row r="15" spans="1:18" x14ac:dyDescent="0.25">
      <c r="A15" s="12"/>
      <c r="B15" s="10" t="s">
        <v>17</v>
      </c>
      <c r="C15" s="11">
        <v>776069</v>
      </c>
      <c r="D15" s="11">
        <v>785883</v>
      </c>
      <c r="E15" s="11">
        <v>655214</v>
      </c>
      <c r="F15" s="11">
        <v>524656</v>
      </c>
      <c r="G15" s="11">
        <v>443717</v>
      </c>
      <c r="H15" s="11">
        <v>421913</v>
      </c>
      <c r="I15" s="11">
        <v>436122</v>
      </c>
      <c r="J15" s="11">
        <v>431517</v>
      </c>
      <c r="K15" s="11">
        <v>463744</v>
      </c>
      <c r="L15" s="11">
        <v>537841</v>
      </c>
      <c r="M15" s="11">
        <v>638899</v>
      </c>
      <c r="N15" s="11">
        <v>607384</v>
      </c>
      <c r="O15" s="11">
        <f>SUM(C15:N15)</f>
        <v>6722959</v>
      </c>
      <c r="Q15" s="8"/>
      <c r="R15" s="8"/>
    </row>
    <row r="16" spans="1:18" x14ac:dyDescent="0.25">
      <c r="A16" s="12"/>
      <c r="B16" s="10" t="s">
        <v>18</v>
      </c>
      <c r="C16" s="11">
        <v>63966</v>
      </c>
      <c r="D16" s="11">
        <v>57016</v>
      </c>
      <c r="E16" s="11">
        <v>59979</v>
      </c>
      <c r="F16" s="11">
        <v>53901</v>
      </c>
      <c r="G16" s="11">
        <v>42251</v>
      </c>
      <c r="H16" s="11">
        <v>45973</v>
      </c>
      <c r="I16" s="11">
        <v>42924</v>
      </c>
      <c r="J16" s="11">
        <v>47363</v>
      </c>
      <c r="K16" s="11">
        <v>43272</v>
      </c>
      <c r="L16" s="11">
        <v>47142</v>
      </c>
      <c r="M16" s="11">
        <v>56404</v>
      </c>
      <c r="N16" s="11">
        <v>56137</v>
      </c>
      <c r="O16" s="11">
        <f>SUM(C16:N16)</f>
        <v>616328</v>
      </c>
    </row>
    <row r="17" spans="1:19" ht="31.5" x14ac:dyDescent="0.25">
      <c r="A17" s="12" t="s">
        <v>27</v>
      </c>
      <c r="B17" s="10" t="s">
        <v>28</v>
      </c>
      <c r="C17" s="7">
        <f>C20+C23+C26</f>
        <v>909379</v>
      </c>
      <c r="D17" s="7">
        <f t="shared" ref="D17:L17" si="8">D20+D23+D26</f>
        <v>883478</v>
      </c>
      <c r="E17" s="7">
        <f t="shared" si="8"/>
        <v>784862</v>
      </c>
      <c r="F17" s="7">
        <f t="shared" si="8"/>
        <v>722395</v>
      </c>
      <c r="G17" s="7">
        <f t="shared" si="8"/>
        <v>713132</v>
      </c>
      <c r="H17" s="7">
        <f t="shared" si="8"/>
        <v>710418</v>
      </c>
      <c r="I17" s="7">
        <f t="shared" si="8"/>
        <v>626285</v>
      </c>
      <c r="J17" s="7">
        <f t="shared" si="8"/>
        <v>688145</v>
      </c>
      <c r="K17" s="7">
        <f t="shared" si="8"/>
        <v>754581</v>
      </c>
      <c r="L17" s="7">
        <f t="shared" si="8"/>
        <v>778810</v>
      </c>
      <c r="M17" s="7">
        <f>M20+M23+M26</f>
        <v>900520</v>
      </c>
      <c r="N17" s="7">
        <f>N20+N23+N26</f>
        <v>953140</v>
      </c>
      <c r="O17" s="7">
        <f>O20+O23+O26</f>
        <v>9425145</v>
      </c>
      <c r="Q17" s="8"/>
      <c r="R17" s="8"/>
    </row>
    <row r="18" spans="1:19" x14ac:dyDescent="0.25">
      <c r="A18" s="12"/>
      <c r="B18" s="10" t="s">
        <v>17</v>
      </c>
      <c r="C18" s="7">
        <f>C21+C24+C27</f>
        <v>592005</v>
      </c>
      <c r="D18" s="7">
        <f t="shared" ref="D18:H19" si="9">D21+D24+D27</f>
        <v>590466</v>
      </c>
      <c r="E18" s="7">
        <f t="shared" si="9"/>
        <v>536670</v>
      </c>
      <c r="F18" s="7">
        <f t="shared" si="9"/>
        <v>490416</v>
      </c>
      <c r="G18" s="7">
        <f t="shared" si="9"/>
        <v>493709</v>
      </c>
      <c r="H18" s="7">
        <f t="shared" si="9"/>
        <v>491134</v>
      </c>
      <c r="I18" s="7">
        <f t="shared" ref="I18:J18" si="10">I21+I24+I27</f>
        <v>432592</v>
      </c>
      <c r="J18" s="7">
        <f t="shared" si="10"/>
        <v>481805</v>
      </c>
      <c r="K18" s="7">
        <f t="shared" ref="K18:L18" si="11">K21+K24+K27</f>
        <v>521796</v>
      </c>
      <c r="L18" s="7">
        <f t="shared" si="11"/>
        <v>524612</v>
      </c>
      <c r="M18" s="7">
        <f t="shared" ref="M18" si="12">M21+M24+M27</f>
        <v>616386</v>
      </c>
      <c r="N18" s="7">
        <f>N21+N24+N27</f>
        <v>664879</v>
      </c>
      <c r="O18" s="7">
        <f>SUM(C18:N18)</f>
        <v>6436470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317374</v>
      </c>
      <c r="D19" s="7">
        <f t="shared" si="9"/>
        <v>293012</v>
      </c>
      <c r="E19" s="7">
        <f t="shared" si="9"/>
        <v>248192</v>
      </c>
      <c r="F19" s="7">
        <f t="shared" si="9"/>
        <v>231979</v>
      </c>
      <c r="G19" s="7">
        <f t="shared" si="9"/>
        <v>219423</v>
      </c>
      <c r="H19" s="7">
        <f t="shared" si="9"/>
        <v>219284</v>
      </c>
      <c r="I19" s="7">
        <f t="shared" ref="I19:J19" si="13">I22+I25+I28</f>
        <v>193693</v>
      </c>
      <c r="J19" s="7">
        <f t="shared" si="13"/>
        <v>206340</v>
      </c>
      <c r="K19" s="7">
        <f t="shared" ref="K19:L19" si="14">K22+K25+K28</f>
        <v>232785</v>
      </c>
      <c r="L19" s="7">
        <f t="shared" si="14"/>
        <v>254198</v>
      </c>
      <c r="M19" s="7">
        <f t="shared" ref="M19:N19" si="15">M22+M25+M28</f>
        <v>284134</v>
      </c>
      <c r="N19" s="7">
        <f t="shared" si="15"/>
        <v>288261</v>
      </c>
      <c r="O19" s="7">
        <f>SUM(C19:N19)</f>
        <v>2988675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M20" si="16">SUM(C21:C22)</f>
        <v>4142</v>
      </c>
      <c r="D20" s="7">
        <f t="shared" si="16"/>
        <v>3912</v>
      </c>
      <c r="E20" s="7">
        <f t="shared" si="16"/>
        <v>3591</v>
      </c>
      <c r="F20" s="7">
        <f t="shared" si="16"/>
        <v>3691</v>
      </c>
      <c r="G20" s="7">
        <f>SUM(G21:G22)</f>
        <v>3841</v>
      </c>
      <c r="H20" s="7">
        <f t="shared" si="16"/>
        <v>3962</v>
      </c>
      <c r="I20" s="7">
        <f t="shared" si="16"/>
        <v>4313</v>
      </c>
      <c r="J20" s="7">
        <f t="shared" si="16"/>
        <v>3982</v>
      </c>
      <c r="K20" s="7">
        <f t="shared" si="16"/>
        <v>4963</v>
      </c>
      <c r="L20" s="7">
        <f t="shared" si="16"/>
        <v>5792</v>
      </c>
      <c r="M20" s="7">
        <f t="shared" si="16"/>
        <v>6373</v>
      </c>
      <c r="N20" s="7">
        <f>SUM(N21:N22)</f>
        <v>6363</v>
      </c>
      <c r="O20" s="7">
        <f>SUM(O21:O22)</f>
        <v>54925</v>
      </c>
    </row>
    <row r="21" spans="1:19" x14ac:dyDescent="0.25">
      <c r="A21" s="3"/>
      <c r="B21" s="10" t="s">
        <v>17</v>
      </c>
      <c r="C21" s="11">
        <v>4142</v>
      </c>
      <c r="D21" s="11">
        <v>3912</v>
      </c>
      <c r="E21" s="11">
        <v>3591</v>
      </c>
      <c r="F21" s="11">
        <v>3691</v>
      </c>
      <c r="G21" s="11">
        <v>3841</v>
      </c>
      <c r="H21" s="11">
        <v>3962</v>
      </c>
      <c r="I21" s="11">
        <v>4313</v>
      </c>
      <c r="J21" s="11">
        <v>3982</v>
      </c>
      <c r="K21" s="11">
        <v>4963</v>
      </c>
      <c r="L21" s="11">
        <v>5792</v>
      </c>
      <c r="M21" s="11">
        <v>6373</v>
      </c>
      <c r="N21" s="11">
        <v>6363</v>
      </c>
      <c r="O21" s="11">
        <f>SUM(C21:N21)</f>
        <v>54925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17">SUM(C24:C25)</f>
        <v>293260</v>
      </c>
      <c r="D23" s="11">
        <f t="shared" si="17"/>
        <v>301905</v>
      </c>
      <c r="E23" s="11">
        <f t="shared" si="17"/>
        <v>310475</v>
      </c>
      <c r="F23" s="11">
        <f t="shared" si="17"/>
        <v>314982</v>
      </c>
      <c r="G23" s="11">
        <f t="shared" si="17"/>
        <v>316817</v>
      </c>
      <c r="H23" s="11">
        <f t="shared" si="17"/>
        <v>319934</v>
      </c>
      <c r="I23" s="11">
        <f t="shared" si="17"/>
        <v>318892</v>
      </c>
      <c r="J23" s="11">
        <f t="shared" si="17"/>
        <v>323313</v>
      </c>
      <c r="K23" s="11">
        <f t="shared" si="17"/>
        <v>328025</v>
      </c>
      <c r="L23" s="11">
        <f t="shared" si="17"/>
        <v>330593</v>
      </c>
      <c r="M23" s="11">
        <f t="shared" si="17"/>
        <v>335430</v>
      </c>
      <c r="N23" s="11">
        <f t="shared" si="17"/>
        <v>390533</v>
      </c>
      <c r="O23" s="11">
        <f t="shared" si="17"/>
        <v>3884159</v>
      </c>
      <c r="Q23" s="8"/>
      <c r="R23" s="8"/>
    </row>
    <row r="24" spans="1:19" x14ac:dyDescent="0.25">
      <c r="A24" s="3"/>
      <c r="B24" s="10" t="s">
        <v>17</v>
      </c>
      <c r="C24" s="11">
        <v>189040</v>
      </c>
      <c r="D24" s="11">
        <v>196905</v>
      </c>
      <c r="E24" s="11">
        <v>204765</v>
      </c>
      <c r="F24" s="11">
        <v>209052</v>
      </c>
      <c r="G24" s="11">
        <v>211077</v>
      </c>
      <c r="H24" s="11">
        <v>214344</v>
      </c>
      <c r="I24" s="11">
        <v>213302</v>
      </c>
      <c r="J24" s="11">
        <v>217343</v>
      </c>
      <c r="K24" s="11">
        <v>221790</v>
      </c>
      <c r="L24" s="11">
        <v>223718</v>
      </c>
      <c r="M24" s="11">
        <v>227890</v>
      </c>
      <c r="N24" s="11">
        <v>282993</v>
      </c>
      <c r="O24" s="11">
        <f>SUM(C24:N24)</f>
        <v>2612219</v>
      </c>
      <c r="Q24" s="8"/>
      <c r="R24" s="8"/>
    </row>
    <row r="25" spans="1:19" x14ac:dyDescent="0.25">
      <c r="A25" s="3"/>
      <c r="B25" s="10" t="s">
        <v>18</v>
      </c>
      <c r="C25" s="11">
        <v>104220</v>
      </c>
      <c r="D25" s="11">
        <v>105000</v>
      </c>
      <c r="E25" s="11">
        <v>105710</v>
      </c>
      <c r="F25" s="11">
        <v>105930</v>
      </c>
      <c r="G25" s="11">
        <v>105740</v>
      </c>
      <c r="H25" s="11">
        <v>105590</v>
      </c>
      <c r="I25" s="11">
        <v>105590</v>
      </c>
      <c r="J25" s="11">
        <v>105970</v>
      </c>
      <c r="K25" s="11">
        <v>106235</v>
      </c>
      <c r="L25" s="11">
        <v>106875</v>
      </c>
      <c r="M25" s="11">
        <v>107540</v>
      </c>
      <c r="N25" s="11">
        <v>107540</v>
      </c>
      <c r="O25" s="11">
        <f>SUM(C25:N25)</f>
        <v>1271940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L26" si="18">SUM(C27:C28)</f>
        <v>611977</v>
      </c>
      <c r="D26" s="11">
        <f t="shared" si="18"/>
        <v>577661</v>
      </c>
      <c r="E26" s="11">
        <f t="shared" si="18"/>
        <v>470796</v>
      </c>
      <c r="F26" s="11">
        <f t="shared" si="18"/>
        <v>403722</v>
      </c>
      <c r="G26" s="11">
        <f t="shared" si="18"/>
        <v>392474</v>
      </c>
      <c r="H26" s="11">
        <f t="shared" si="18"/>
        <v>386522</v>
      </c>
      <c r="I26" s="11">
        <f t="shared" si="18"/>
        <v>303080</v>
      </c>
      <c r="J26" s="11">
        <f t="shared" si="18"/>
        <v>360850</v>
      </c>
      <c r="K26" s="11">
        <f t="shared" si="18"/>
        <v>421593</v>
      </c>
      <c r="L26" s="11">
        <f t="shared" si="18"/>
        <v>442425</v>
      </c>
      <c r="M26" s="11">
        <f>SUM(M27:M28)</f>
        <v>558717</v>
      </c>
      <c r="N26" s="11">
        <f>SUM(N27:N28)</f>
        <v>556244</v>
      </c>
      <c r="O26" s="11">
        <f>SUM(O27:O28)</f>
        <v>5486061</v>
      </c>
      <c r="Q26" s="8"/>
      <c r="R26" s="8"/>
    </row>
    <row r="27" spans="1:19" x14ac:dyDescent="0.25">
      <c r="A27" s="3"/>
      <c r="B27" s="10" t="s">
        <v>17</v>
      </c>
      <c r="C27" s="11">
        <v>398823</v>
      </c>
      <c r="D27" s="11">
        <v>389649</v>
      </c>
      <c r="E27" s="11">
        <v>328314</v>
      </c>
      <c r="F27" s="11">
        <v>277673</v>
      </c>
      <c r="G27" s="11">
        <v>278791</v>
      </c>
      <c r="H27" s="11">
        <v>272828</v>
      </c>
      <c r="I27" s="11">
        <v>214977</v>
      </c>
      <c r="J27" s="11">
        <v>260480</v>
      </c>
      <c r="K27" s="11">
        <v>295043</v>
      </c>
      <c r="L27" s="11">
        <v>295102</v>
      </c>
      <c r="M27" s="11">
        <v>382123</v>
      </c>
      <c r="N27" s="11">
        <v>375523</v>
      </c>
      <c r="O27" s="11">
        <f>SUM(C27:N27)</f>
        <v>3769326</v>
      </c>
      <c r="Q27" s="8"/>
      <c r="R27" s="8"/>
    </row>
    <row r="28" spans="1:19" x14ac:dyDescent="0.25">
      <c r="A28" s="3"/>
      <c r="B28" s="10" t="s">
        <v>18</v>
      </c>
      <c r="C28" s="11">
        <v>213154</v>
      </c>
      <c r="D28" s="11">
        <v>188012</v>
      </c>
      <c r="E28" s="11">
        <v>142482</v>
      </c>
      <c r="F28" s="11">
        <v>126049</v>
      </c>
      <c r="G28" s="11">
        <v>113683</v>
      </c>
      <c r="H28" s="11">
        <v>113694</v>
      </c>
      <c r="I28" s="11">
        <v>88103</v>
      </c>
      <c r="J28" s="11">
        <v>100370</v>
      </c>
      <c r="K28" s="11">
        <v>126550</v>
      </c>
      <c r="L28" s="11">
        <v>147323</v>
      </c>
      <c r="M28" s="11">
        <v>176594</v>
      </c>
      <c r="N28" s="11">
        <v>180721</v>
      </c>
      <c r="O28" s="11">
        <f>SUM(C28:N28)</f>
        <v>1716735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68256</v>
      </c>
      <c r="D30" s="7">
        <f t="shared" ref="D30:N30" si="19">D6-D12</f>
        <v>100891</v>
      </c>
      <c r="E30" s="7">
        <f t="shared" si="19"/>
        <v>144271</v>
      </c>
      <c r="F30" s="7">
        <f t="shared" si="19"/>
        <v>-120200</v>
      </c>
      <c r="G30" s="7">
        <f t="shared" si="19"/>
        <v>55128</v>
      </c>
      <c r="H30" s="7">
        <f t="shared" si="19"/>
        <v>-19092</v>
      </c>
      <c r="I30" s="7">
        <f t="shared" si="19"/>
        <v>107269</v>
      </c>
      <c r="J30" s="7">
        <f t="shared" si="19"/>
        <v>-345205</v>
      </c>
      <c r="K30" s="7">
        <f t="shared" si="19"/>
        <v>-437841</v>
      </c>
      <c r="L30" s="7">
        <f>L6-L12</f>
        <v>163455</v>
      </c>
      <c r="M30" s="7">
        <f t="shared" si="19"/>
        <v>197540</v>
      </c>
      <c r="N30" s="7">
        <f t="shared" si="19"/>
        <v>160648</v>
      </c>
      <c r="O30" s="7">
        <f>O6-O12</f>
        <v>75120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3.7551370710855105E-2</v>
      </c>
      <c r="D31" s="32">
        <f t="shared" ref="D31:G31" si="20">D30/D5</f>
        <v>5.52141229420096E-2</v>
      </c>
      <c r="E31" s="32">
        <f t="shared" si="20"/>
        <v>8.7738684421459004E-2</v>
      </c>
      <c r="F31" s="32">
        <f t="shared" si="20"/>
        <v>-0.10179953114625256</v>
      </c>
      <c r="G31" s="32">
        <f t="shared" si="20"/>
        <v>4.3953730900601805E-2</v>
      </c>
      <c r="H31" s="32">
        <f>H30/H5</f>
        <v>-1.6469808801151127E-2</v>
      </c>
      <c r="I31" s="32">
        <f t="shared" ref="I31:N31" si="21">I30/I5</f>
        <v>8.8461982516905818E-2</v>
      </c>
      <c r="J31" s="32">
        <f t="shared" si="21"/>
        <v>-0.42004940254556961</v>
      </c>
      <c r="K31" s="32">
        <f t="shared" si="21"/>
        <v>-0.53151782809472703</v>
      </c>
      <c r="L31" s="32">
        <f t="shared" si="21"/>
        <v>0.10702583994217049</v>
      </c>
      <c r="M31" s="32">
        <f t="shared" si="21"/>
        <v>0.11015059416303337</v>
      </c>
      <c r="N31" s="32">
        <f t="shared" si="21"/>
        <v>9.0388334273893853E-2</v>
      </c>
      <c r="O31" s="32">
        <f>O30/O5</f>
        <v>4.4609262764235061E-3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2:S45"/>
  <sheetViews>
    <sheetView workbookViewId="0">
      <pane xSplit="2" ySplit="4" topLeftCell="J38" activePane="bottomRight" state="frozen"/>
      <selection pane="topRight" activeCell="C1" sqref="C1"/>
      <selection pane="bottomLeft" activeCell="A5" sqref="A5"/>
      <selection pane="bottomRight" activeCell="G41" sqref="G41:R41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3.2851562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45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2146970</v>
      </c>
      <c r="D5" s="7">
        <f t="shared" si="0"/>
        <v>1885840</v>
      </c>
      <c r="E5" s="7">
        <f t="shared" si="0"/>
        <v>1667586</v>
      </c>
      <c r="F5" s="7">
        <f t="shared" si="0"/>
        <v>1545830</v>
      </c>
      <c r="G5" s="7">
        <f>G6</f>
        <v>1442854</v>
      </c>
      <c r="H5" s="7">
        <f t="shared" ref="H5:N5" si="1">H6</f>
        <v>1256796</v>
      </c>
      <c r="I5" s="7">
        <f t="shared" si="1"/>
        <v>1378776</v>
      </c>
      <c r="J5" s="7">
        <f t="shared" si="1"/>
        <v>1512720</v>
      </c>
      <c r="K5" s="7">
        <f t="shared" si="1"/>
        <v>1500420</v>
      </c>
      <c r="L5" s="7">
        <f t="shared" si="1"/>
        <v>1716900</v>
      </c>
      <c r="M5" s="7">
        <f t="shared" si="1"/>
        <v>2199888</v>
      </c>
      <c r="N5" s="7">
        <f t="shared" si="1"/>
        <v>2018808</v>
      </c>
      <c r="O5" s="7">
        <f>O6</f>
        <v>20273388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2146970</v>
      </c>
      <c r="D6" s="7">
        <f t="shared" si="2"/>
        <v>1885840</v>
      </c>
      <c r="E6" s="7">
        <f t="shared" ref="E6:F6" si="3">SUM(E7:E8)</f>
        <v>1667586</v>
      </c>
      <c r="F6" s="7">
        <f t="shared" si="3"/>
        <v>1545830</v>
      </c>
      <c r="G6" s="7">
        <f t="shared" ref="G6:I6" si="4">SUM(G7:G8)</f>
        <v>1442854</v>
      </c>
      <c r="H6" s="7">
        <f t="shared" si="4"/>
        <v>1256796</v>
      </c>
      <c r="I6" s="7">
        <f t="shared" si="4"/>
        <v>1378776</v>
      </c>
      <c r="J6" s="7">
        <f t="shared" ref="J6" si="5">SUM(J7:J8)</f>
        <v>1512720</v>
      </c>
      <c r="K6" s="7">
        <f>SUM(K7:K8)</f>
        <v>1500420</v>
      </c>
      <c r="L6" s="7">
        <f>SUM(L7:L8)</f>
        <v>1716900</v>
      </c>
      <c r="M6" s="7">
        <f>SUM(M7:M8)</f>
        <v>2199888</v>
      </c>
      <c r="N6" s="7">
        <f>SUM(N7:N8)</f>
        <v>2018808</v>
      </c>
      <c r="O6" s="7">
        <f t="shared" si="2"/>
        <v>20273388</v>
      </c>
    </row>
    <row r="7" spans="1:18" x14ac:dyDescent="0.25">
      <c r="A7" s="5"/>
      <c r="B7" s="10" t="s">
        <v>17</v>
      </c>
      <c r="C7" s="7">
        <f>C10</f>
        <v>2146970</v>
      </c>
      <c r="D7" s="7">
        <f t="shared" ref="D7:O7" si="6">D10</f>
        <v>1885840</v>
      </c>
      <c r="E7" s="7">
        <f t="shared" ref="E7" si="7">E10</f>
        <v>1667586</v>
      </c>
      <c r="F7" s="7">
        <f>F10</f>
        <v>1545830</v>
      </c>
      <c r="G7" s="7"/>
      <c r="H7" s="7"/>
      <c r="I7" s="7"/>
      <c r="J7" s="7"/>
      <c r="K7" s="7"/>
      <c r="L7" s="7"/>
      <c r="M7" s="7"/>
      <c r="N7" s="7"/>
      <c r="O7" s="7">
        <f t="shared" si="6"/>
        <v>7246226</v>
      </c>
    </row>
    <row r="8" spans="1:18" x14ac:dyDescent="0.25">
      <c r="A8" s="5"/>
      <c r="B8" s="10" t="s">
        <v>46</v>
      </c>
      <c r="C8" s="11"/>
      <c r="D8" s="11"/>
      <c r="E8" s="11"/>
      <c r="F8" s="11"/>
      <c r="G8" s="7">
        <v>1442854</v>
      </c>
      <c r="H8" s="7">
        <f>H11</f>
        <v>1256796</v>
      </c>
      <c r="I8" s="7">
        <v>1378776</v>
      </c>
      <c r="J8" s="7">
        <v>1512720</v>
      </c>
      <c r="K8" s="7">
        <f>K11</f>
        <v>1500420</v>
      </c>
      <c r="L8" s="7">
        <f>L11</f>
        <v>1716900</v>
      </c>
      <c r="M8" s="7">
        <f>M11</f>
        <v>2199888</v>
      </c>
      <c r="N8" s="7">
        <f>N11</f>
        <v>2018808</v>
      </c>
      <c r="O8" s="7">
        <f>O11</f>
        <v>13027162</v>
      </c>
    </row>
    <row r="9" spans="1:18" x14ac:dyDescent="0.25">
      <c r="A9" s="5" t="s">
        <v>19</v>
      </c>
      <c r="B9" s="10" t="s">
        <v>20</v>
      </c>
      <c r="C9" s="11">
        <f t="shared" ref="C9:F9" si="8">SUM(C10:C11)</f>
        <v>2146970</v>
      </c>
      <c r="D9" s="11">
        <f t="shared" si="8"/>
        <v>1885840</v>
      </c>
      <c r="E9" s="11">
        <f t="shared" si="8"/>
        <v>1667586</v>
      </c>
      <c r="F9" s="11">
        <f t="shared" si="8"/>
        <v>1545830</v>
      </c>
      <c r="G9" s="11">
        <f>SUM(G10:G11)</f>
        <v>1442854</v>
      </c>
      <c r="H9" s="11">
        <f t="shared" ref="H9:J9" si="9">SUM(H10:H11)</f>
        <v>1256796</v>
      </c>
      <c r="I9" s="11">
        <f t="shared" si="9"/>
        <v>1378776</v>
      </c>
      <c r="J9" s="11">
        <f t="shared" si="9"/>
        <v>1512720</v>
      </c>
      <c r="K9" s="11">
        <f>SUM(K10:K11)</f>
        <v>1500420</v>
      </c>
      <c r="L9" s="11">
        <f>SUM(L10:L11)</f>
        <v>1716900</v>
      </c>
      <c r="M9" s="11">
        <f>SUM(M10:M11)</f>
        <v>2199888</v>
      </c>
      <c r="N9" s="11">
        <f>SUM(N10:N11)</f>
        <v>2018808</v>
      </c>
      <c r="O9" s="11">
        <f>SUM(O10:O11)</f>
        <v>20273388</v>
      </c>
    </row>
    <row r="10" spans="1:18" x14ac:dyDescent="0.25">
      <c r="A10" s="5"/>
      <c r="B10" s="10" t="s">
        <v>17</v>
      </c>
      <c r="C10" s="11">
        <v>2146970</v>
      </c>
      <c r="D10" s="11">
        <v>1885840</v>
      </c>
      <c r="E10" s="11">
        <v>1667586</v>
      </c>
      <c r="F10" s="11">
        <v>1545830</v>
      </c>
      <c r="G10" s="11"/>
      <c r="H10" s="11"/>
      <c r="I10" s="11"/>
      <c r="J10" s="11"/>
      <c r="K10" s="11"/>
      <c r="L10" s="11"/>
      <c r="M10" s="11"/>
      <c r="N10" s="11"/>
      <c r="O10" s="11">
        <f>SUM(C10:N10)</f>
        <v>7246226</v>
      </c>
    </row>
    <row r="11" spans="1:18" x14ac:dyDescent="0.25">
      <c r="A11" s="5"/>
      <c r="B11" s="10" t="s">
        <v>46</v>
      </c>
      <c r="C11" s="11"/>
      <c r="D11" s="11"/>
      <c r="E11" s="11"/>
      <c r="F11" s="11"/>
      <c r="G11" s="11">
        <v>1442854</v>
      </c>
      <c r="H11" s="11">
        <v>1256796</v>
      </c>
      <c r="I11" s="11">
        <v>1378776</v>
      </c>
      <c r="J11" s="11">
        <f>J8</f>
        <v>1512720</v>
      </c>
      <c r="K11" s="11">
        <v>1500420</v>
      </c>
      <c r="L11" s="11">
        <v>1716900</v>
      </c>
      <c r="M11" s="11">
        <v>2199888</v>
      </c>
      <c r="N11" s="23">
        <v>2018808</v>
      </c>
      <c r="O11" s="11">
        <f>SUM(C11:N11)</f>
        <v>13027162</v>
      </c>
    </row>
    <row r="12" spans="1:18" x14ac:dyDescent="0.25">
      <c r="A12" s="5" t="s">
        <v>21</v>
      </c>
      <c r="B12" s="6" t="s">
        <v>22</v>
      </c>
      <c r="C12" s="7">
        <f>C13+C29</f>
        <v>1898333</v>
      </c>
      <c r="D12" s="7">
        <f t="shared" ref="D12:O12" si="10">D13+D29</f>
        <v>1963768</v>
      </c>
      <c r="E12" s="7">
        <f t="shared" ref="E12:N12" si="11">E13+E29</f>
        <v>1582142</v>
      </c>
      <c r="F12" s="7">
        <f t="shared" si="11"/>
        <v>1502091</v>
      </c>
      <c r="G12" s="7">
        <f t="shared" si="11"/>
        <v>1353849</v>
      </c>
      <c r="H12" s="7">
        <f>H13+H29</f>
        <v>1266252</v>
      </c>
      <c r="I12" s="7">
        <f t="shared" si="11"/>
        <v>1343538</v>
      </c>
      <c r="J12" s="7">
        <f t="shared" si="11"/>
        <v>1378419</v>
      </c>
      <c r="K12" s="7">
        <f t="shared" si="11"/>
        <v>1439221.5996320001</v>
      </c>
      <c r="L12" s="7">
        <f t="shared" si="11"/>
        <v>1580525</v>
      </c>
      <c r="M12" s="7">
        <f t="shared" si="11"/>
        <v>1990139.4777170001</v>
      </c>
      <c r="N12" s="7">
        <f t="shared" si="11"/>
        <v>1953276.792865</v>
      </c>
      <c r="O12" s="7">
        <f t="shared" si="10"/>
        <v>19251554.870214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1898333</v>
      </c>
      <c r="D13" s="7">
        <f t="shared" ref="D13:E13" si="12">D14+D17+D29</f>
        <v>1963768</v>
      </c>
      <c r="E13" s="7">
        <f t="shared" si="12"/>
        <v>1582142</v>
      </c>
      <c r="F13" s="7">
        <f t="shared" ref="F13:N13" si="13">F14+F17+F29</f>
        <v>1502091</v>
      </c>
      <c r="G13" s="7">
        <f t="shared" si="13"/>
        <v>1353849</v>
      </c>
      <c r="H13" s="7">
        <f>H14+H17+H29</f>
        <v>1266252</v>
      </c>
      <c r="I13" s="7">
        <f t="shared" si="13"/>
        <v>1343538</v>
      </c>
      <c r="J13" s="7">
        <f t="shared" si="13"/>
        <v>1378419</v>
      </c>
      <c r="K13" s="7">
        <f t="shared" si="13"/>
        <v>1439221.5996320001</v>
      </c>
      <c r="L13" s="7">
        <f t="shared" si="13"/>
        <v>1580525</v>
      </c>
      <c r="M13" s="7">
        <f t="shared" si="13"/>
        <v>1990139.4777170001</v>
      </c>
      <c r="N13" s="7">
        <f t="shared" si="13"/>
        <v>1953276.792865</v>
      </c>
      <c r="O13" s="7">
        <f>O14+O17+O29</f>
        <v>19251554.870214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F14" si="14">SUM(C15:C16)</f>
        <v>904234</v>
      </c>
      <c r="D14" s="7">
        <f t="shared" si="14"/>
        <v>870267</v>
      </c>
      <c r="E14" s="7">
        <f t="shared" si="14"/>
        <v>689389</v>
      </c>
      <c r="F14" s="7">
        <f t="shared" si="14"/>
        <v>575419</v>
      </c>
      <c r="G14" s="7">
        <f t="shared" ref="G14:N14" si="15">SUM(G15:G16)</f>
        <v>479324</v>
      </c>
      <c r="H14" s="7">
        <f t="shared" si="15"/>
        <v>477428</v>
      </c>
      <c r="I14" s="7">
        <f t="shared" si="15"/>
        <v>507938</v>
      </c>
      <c r="J14" s="7">
        <f t="shared" si="15"/>
        <v>525614</v>
      </c>
      <c r="K14" s="7">
        <f t="shared" si="15"/>
        <v>547522</v>
      </c>
      <c r="L14" s="7">
        <f t="shared" si="15"/>
        <v>615578</v>
      </c>
      <c r="M14" s="7">
        <f t="shared" si="15"/>
        <v>790802</v>
      </c>
      <c r="N14" s="7">
        <f t="shared" si="15"/>
        <v>801052</v>
      </c>
      <c r="O14" s="7">
        <f>SUM(O15:O16)</f>
        <v>7784567</v>
      </c>
      <c r="Q14" s="8"/>
      <c r="R14" s="8"/>
    </row>
    <row r="15" spans="1:18" x14ac:dyDescent="0.25">
      <c r="A15" s="12"/>
      <c r="B15" s="10" t="s">
        <v>17</v>
      </c>
      <c r="C15" s="11">
        <v>842343</v>
      </c>
      <c r="D15" s="11">
        <v>806461</v>
      </c>
      <c r="E15" s="11">
        <v>631628</v>
      </c>
      <c r="F15" s="11">
        <v>524673</v>
      </c>
      <c r="G15" s="11">
        <v>432329</v>
      </c>
      <c r="H15" s="11">
        <v>425702</v>
      </c>
      <c r="I15" s="11">
        <v>455486</v>
      </c>
      <c r="J15" s="11">
        <v>470294</v>
      </c>
      <c r="K15" s="11">
        <v>485823</v>
      </c>
      <c r="L15" s="11">
        <v>550419</v>
      </c>
      <c r="M15" s="11">
        <v>707983</v>
      </c>
      <c r="N15" s="11">
        <v>727942</v>
      </c>
      <c r="O15" s="11">
        <f>SUM(C15:N15)</f>
        <v>7061083</v>
      </c>
      <c r="Q15" s="8"/>
      <c r="R15" s="8"/>
    </row>
    <row r="16" spans="1:18" x14ac:dyDescent="0.25">
      <c r="A16" s="12"/>
      <c r="B16" s="10" t="s">
        <v>18</v>
      </c>
      <c r="C16" s="11">
        <v>61891</v>
      </c>
      <c r="D16" s="11">
        <v>63806</v>
      </c>
      <c r="E16" s="11">
        <v>57761</v>
      </c>
      <c r="F16" s="11">
        <v>50746</v>
      </c>
      <c r="G16" s="11">
        <v>46995</v>
      </c>
      <c r="H16" s="11">
        <v>51726</v>
      </c>
      <c r="I16" s="11">
        <v>52452</v>
      </c>
      <c r="J16" s="11">
        <v>55320</v>
      </c>
      <c r="K16" s="11">
        <v>61699</v>
      </c>
      <c r="L16" s="11">
        <v>65159</v>
      </c>
      <c r="M16" s="11">
        <v>82819</v>
      </c>
      <c r="N16" s="11">
        <v>73110</v>
      </c>
      <c r="O16" s="11">
        <f>SUM(C16:N16)</f>
        <v>723484</v>
      </c>
    </row>
    <row r="17" spans="1:19" ht="31.5" x14ac:dyDescent="0.25">
      <c r="A17" s="12" t="s">
        <v>27</v>
      </c>
      <c r="B17" s="10" t="s">
        <v>28</v>
      </c>
      <c r="C17" s="7">
        <f>C20+C23+C26</f>
        <v>994099</v>
      </c>
      <c r="D17" s="7">
        <f t="shared" ref="D17:N19" si="16">D20+D23+D26</f>
        <v>1093501</v>
      </c>
      <c r="E17" s="7">
        <f t="shared" si="16"/>
        <v>892753</v>
      </c>
      <c r="F17" s="7">
        <f t="shared" si="16"/>
        <v>926672</v>
      </c>
      <c r="G17" s="7">
        <f t="shared" si="16"/>
        <v>874525</v>
      </c>
      <c r="H17" s="7">
        <f t="shared" si="16"/>
        <v>788824</v>
      </c>
      <c r="I17" s="7">
        <f>I20+I23+I26</f>
        <v>835600</v>
      </c>
      <c r="J17" s="7">
        <f t="shared" si="16"/>
        <v>852805</v>
      </c>
      <c r="K17" s="7">
        <f t="shared" si="16"/>
        <v>891699.59963199997</v>
      </c>
      <c r="L17" s="7">
        <f t="shared" si="16"/>
        <v>964947</v>
      </c>
      <c r="M17" s="7">
        <f t="shared" si="16"/>
        <v>1199337.4777170001</v>
      </c>
      <c r="N17" s="7">
        <f t="shared" si="16"/>
        <v>1152224.792865</v>
      </c>
      <c r="O17" s="7">
        <f>O20+O23+O26</f>
        <v>11466987.870214</v>
      </c>
      <c r="Q17" s="8"/>
      <c r="R17" s="8"/>
    </row>
    <row r="18" spans="1:19" x14ac:dyDescent="0.25">
      <c r="A18" s="12"/>
      <c r="B18" s="10" t="s">
        <v>17</v>
      </c>
      <c r="C18" s="7">
        <f>C21+C24+C27</f>
        <v>680327</v>
      </c>
      <c r="D18" s="7">
        <f t="shared" si="16"/>
        <v>798595</v>
      </c>
      <c r="E18" s="7">
        <f t="shared" si="16"/>
        <v>644718</v>
      </c>
      <c r="F18" s="7">
        <f t="shared" ref="F18:H18" si="17">F21+F24+F27</f>
        <v>684247</v>
      </c>
      <c r="G18" s="7">
        <f t="shared" si="17"/>
        <v>658719</v>
      </c>
      <c r="H18" s="7">
        <f t="shared" si="17"/>
        <v>602433</v>
      </c>
      <c r="I18" s="7">
        <f>I21+I24+I27</f>
        <v>642344</v>
      </c>
      <c r="J18" s="7">
        <f>J21+J24+J27</f>
        <v>654036</v>
      </c>
      <c r="K18" s="7">
        <f>K21+K24+K27</f>
        <v>368785</v>
      </c>
      <c r="L18" s="7">
        <f>L21+L24+L27</f>
        <v>373001</v>
      </c>
      <c r="M18" s="7">
        <f>M21+M24+M27</f>
        <v>506600</v>
      </c>
      <c r="N18" s="7">
        <f>N21+N24+N27</f>
        <v>491740</v>
      </c>
      <c r="O18" s="7">
        <f>SUM(C18:N18)</f>
        <v>7105545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313772</v>
      </c>
      <c r="D19" s="7">
        <f t="shared" si="16"/>
        <v>294906</v>
      </c>
      <c r="E19" s="7">
        <f t="shared" si="16"/>
        <v>248035</v>
      </c>
      <c r="F19" s="7">
        <f t="shared" ref="F19:J19" si="18">F22+F25+F28</f>
        <v>242425</v>
      </c>
      <c r="G19" s="7">
        <f t="shared" si="18"/>
        <v>215806</v>
      </c>
      <c r="H19" s="7">
        <f t="shared" si="18"/>
        <v>186391</v>
      </c>
      <c r="I19" s="7">
        <f>I22+I25+I28</f>
        <v>193256</v>
      </c>
      <c r="J19" s="7">
        <f t="shared" si="18"/>
        <v>198769</v>
      </c>
      <c r="K19" s="7">
        <f t="shared" ref="K19:L19" si="19">K22+K25+K28</f>
        <v>522914.59963199997</v>
      </c>
      <c r="L19" s="7">
        <f t="shared" si="19"/>
        <v>591946</v>
      </c>
      <c r="M19" s="7">
        <f t="shared" ref="M19:N19" si="20">M22+M25+M28</f>
        <v>692737.47771700006</v>
      </c>
      <c r="N19" s="7">
        <f t="shared" si="20"/>
        <v>660484.79286499997</v>
      </c>
      <c r="O19" s="7">
        <f>SUM(C19:N19)</f>
        <v>4361442.8702140003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H20" si="21">SUM(C21:C22)</f>
        <v>6643</v>
      </c>
      <c r="D20" s="7">
        <f t="shared" si="21"/>
        <v>6423</v>
      </c>
      <c r="E20" s="7">
        <f t="shared" si="21"/>
        <v>5632</v>
      </c>
      <c r="F20" s="7">
        <f t="shared" si="21"/>
        <v>6103</v>
      </c>
      <c r="G20" s="7">
        <f t="shared" si="21"/>
        <v>5762</v>
      </c>
      <c r="H20" s="7">
        <f t="shared" si="21"/>
        <v>5572</v>
      </c>
      <c r="I20" s="7"/>
      <c r="J20" s="7"/>
      <c r="K20" s="7"/>
      <c r="L20" s="7"/>
      <c r="M20" s="7"/>
      <c r="N20" s="7"/>
      <c r="O20" s="7">
        <f>SUM(O21:O22)</f>
        <v>36135</v>
      </c>
    </row>
    <row r="21" spans="1:19" x14ac:dyDescent="0.25">
      <c r="A21" s="3"/>
      <c r="B21" s="10" t="s">
        <v>17</v>
      </c>
      <c r="C21" s="11">
        <v>6643</v>
      </c>
      <c r="D21" s="11">
        <v>6423</v>
      </c>
      <c r="E21" s="11">
        <v>5632</v>
      </c>
      <c r="F21" s="11">
        <v>6103</v>
      </c>
      <c r="G21" s="7">
        <v>5762</v>
      </c>
      <c r="H21" s="7">
        <v>5572</v>
      </c>
      <c r="I21" s="7"/>
      <c r="J21" s="7"/>
      <c r="K21" s="7"/>
      <c r="L21" s="7"/>
      <c r="M21" s="7"/>
      <c r="N21" s="7"/>
      <c r="O21" s="7">
        <f>SUM(C21:N21)</f>
        <v>36135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22">SUM(C24:C25)</f>
        <v>383446</v>
      </c>
      <c r="D23" s="11">
        <f t="shared" si="22"/>
        <v>348513</v>
      </c>
      <c r="E23" s="11">
        <f t="shared" si="22"/>
        <v>354075</v>
      </c>
      <c r="F23" s="11">
        <f t="shared" si="22"/>
        <v>362575</v>
      </c>
      <c r="G23" s="11">
        <f t="shared" si="22"/>
        <v>372840</v>
      </c>
      <c r="H23" s="11">
        <f t="shared" si="22"/>
        <v>380435</v>
      </c>
      <c r="I23" s="11">
        <f t="shared" si="22"/>
        <v>383645</v>
      </c>
      <c r="J23" s="11">
        <f t="shared" si="22"/>
        <v>390670</v>
      </c>
      <c r="K23" s="11">
        <f t="shared" si="22"/>
        <v>393940</v>
      </c>
      <c r="L23" s="11">
        <f t="shared" si="22"/>
        <v>396470</v>
      </c>
      <c r="M23" s="11">
        <f t="shared" si="22"/>
        <v>401600</v>
      </c>
      <c r="N23" s="11">
        <f t="shared" si="22"/>
        <v>407550</v>
      </c>
      <c r="O23" s="11">
        <f t="shared" si="22"/>
        <v>4575759</v>
      </c>
      <c r="Q23" s="8"/>
      <c r="R23" s="8"/>
    </row>
    <row r="24" spans="1:19" x14ac:dyDescent="0.25">
      <c r="A24" s="3"/>
      <c r="B24" s="10" t="s">
        <v>17</v>
      </c>
      <c r="C24" s="11">
        <v>275416</v>
      </c>
      <c r="D24" s="11">
        <v>240618</v>
      </c>
      <c r="E24" s="11">
        <v>245770</v>
      </c>
      <c r="F24" s="11">
        <v>253010</v>
      </c>
      <c r="G24" s="11">
        <v>261435</v>
      </c>
      <c r="H24" s="11">
        <v>267190</v>
      </c>
      <c r="I24" s="11">
        <v>269885</v>
      </c>
      <c r="J24" s="11">
        <v>276075</v>
      </c>
      <c r="K24" s="11">
        <v>116195</v>
      </c>
      <c r="L24" s="11">
        <v>117685</v>
      </c>
      <c r="M24" s="11">
        <v>120710</v>
      </c>
      <c r="N24" s="11">
        <v>126545</v>
      </c>
      <c r="O24" s="11">
        <f>SUM(C24:N24)</f>
        <v>2570534</v>
      </c>
      <c r="Q24" s="8"/>
      <c r="R24" s="8"/>
    </row>
    <row r="25" spans="1:19" x14ac:dyDescent="0.25">
      <c r="A25" s="3"/>
      <c r="B25" s="10" t="s">
        <v>18</v>
      </c>
      <c r="C25" s="11">
        <v>108030</v>
      </c>
      <c r="D25" s="11">
        <v>107895</v>
      </c>
      <c r="E25" s="11">
        <v>108305</v>
      </c>
      <c r="F25" s="11">
        <v>109565</v>
      </c>
      <c r="G25" s="11">
        <v>111405</v>
      </c>
      <c r="H25" s="11">
        <v>113245</v>
      </c>
      <c r="I25" s="11">
        <v>113760</v>
      </c>
      <c r="J25" s="11">
        <v>114595</v>
      </c>
      <c r="K25" s="11">
        <v>277745</v>
      </c>
      <c r="L25" s="11">
        <v>278785</v>
      </c>
      <c r="M25" s="11">
        <v>280890</v>
      </c>
      <c r="N25" s="11">
        <v>281005</v>
      </c>
      <c r="O25" s="11">
        <f>SUM(C25:N25)</f>
        <v>2005225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N26" si="23">SUM(C27:C28)</f>
        <v>604010</v>
      </c>
      <c r="D26" s="11">
        <f t="shared" si="23"/>
        <v>738565</v>
      </c>
      <c r="E26" s="11">
        <f t="shared" si="23"/>
        <v>533046</v>
      </c>
      <c r="F26" s="11">
        <f t="shared" si="23"/>
        <v>557994</v>
      </c>
      <c r="G26" s="11">
        <f t="shared" si="23"/>
        <v>495923</v>
      </c>
      <c r="H26" s="11">
        <f t="shared" si="23"/>
        <v>402817</v>
      </c>
      <c r="I26" s="11">
        <f t="shared" si="23"/>
        <v>451955</v>
      </c>
      <c r="J26" s="11">
        <f t="shared" si="23"/>
        <v>462135</v>
      </c>
      <c r="K26" s="11">
        <f t="shared" si="23"/>
        <v>497759.59963199997</v>
      </c>
      <c r="L26" s="11">
        <f t="shared" si="23"/>
        <v>568477</v>
      </c>
      <c r="M26" s="11">
        <f t="shared" si="23"/>
        <v>797737.47771700006</v>
      </c>
      <c r="N26" s="11">
        <f t="shared" si="23"/>
        <v>744674.79286499997</v>
      </c>
      <c r="O26" s="11">
        <f>SUM(O27:O28)</f>
        <v>6855093.8702140003</v>
      </c>
      <c r="Q26" s="8"/>
      <c r="R26" s="8"/>
    </row>
    <row r="27" spans="1:19" x14ac:dyDescent="0.25">
      <c r="A27" s="3"/>
      <c r="B27" s="10" t="s">
        <v>17</v>
      </c>
      <c r="C27" s="11">
        <v>398268</v>
      </c>
      <c r="D27" s="11">
        <v>551554</v>
      </c>
      <c r="E27" s="11">
        <v>393316</v>
      </c>
      <c r="F27" s="11">
        <v>425134</v>
      </c>
      <c r="G27" s="11">
        <v>391522</v>
      </c>
      <c r="H27" s="11">
        <v>329671</v>
      </c>
      <c r="I27" s="11">
        <v>372459</v>
      </c>
      <c r="J27" s="11">
        <v>377961</v>
      </c>
      <c r="K27" s="11">
        <v>252590</v>
      </c>
      <c r="L27" s="11">
        <v>255316</v>
      </c>
      <c r="M27" s="11">
        <v>385890</v>
      </c>
      <c r="N27" s="11">
        <v>365195</v>
      </c>
      <c r="O27" s="11">
        <f>SUM(C27:N27)</f>
        <v>4498876</v>
      </c>
      <c r="Q27" s="8"/>
      <c r="R27" s="8"/>
    </row>
    <row r="28" spans="1:19" x14ac:dyDescent="0.25">
      <c r="A28" s="3"/>
      <c r="B28" s="10" t="s">
        <v>18</v>
      </c>
      <c r="C28" s="11">
        <v>205742</v>
      </c>
      <c r="D28" s="11">
        <v>187011</v>
      </c>
      <c r="E28" s="11">
        <v>139730</v>
      </c>
      <c r="F28" s="11">
        <v>132860</v>
      </c>
      <c r="G28" s="11">
        <v>104401</v>
      </c>
      <c r="H28" s="11">
        <v>73146</v>
      </c>
      <c r="I28" s="11">
        <v>79496</v>
      </c>
      <c r="J28" s="11">
        <v>84174</v>
      </c>
      <c r="K28" s="11">
        <v>245169.599632</v>
      </c>
      <c r="L28" s="11">
        <v>313161</v>
      </c>
      <c r="M28" s="11">
        <v>411847.477717</v>
      </c>
      <c r="N28" s="11">
        <v>379479.79286500002</v>
      </c>
      <c r="O28" s="11">
        <f>SUM(C28:N28)</f>
        <v>2356217.8702140003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248637</v>
      </c>
      <c r="D30" s="7">
        <f t="shared" ref="D30:E30" si="24">D6-D12</f>
        <v>-77928</v>
      </c>
      <c r="E30" s="7">
        <f t="shared" si="24"/>
        <v>85444</v>
      </c>
      <c r="F30" s="7">
        <f>F6-F12</f>
        <v>43739</v>
      </c>
      <c r="G30" s="7">
        <f>G6-G12</f>
        <v>89005</v>
      </c>
      <c r="H30" s="7">
        <f>H6-H12</f>
        <v>-9456</v>
      </c>
      <c r="I30" s="7">
        <f>I6-I12</f>
        <v>35238</v>
      </c>
      <c r="J30" s="7">
        <f>J6-J12</f>
        <v>134301</v>
      </c>
      <c r="K30" s="7">
        <f t="shared" ref="K30:M30" si="25">K6-K12</f>
        <v>61198.400367999915</v>
      </c>
      <c r="L30" s="7">
        <f t="shared" si="25"/>
        <v>136375</v>
      </c>
      <c r="M30" s="7">
        <f t="shared" si="25"/>
        <v>209748.52228299994</v>
      </c>
      <c r="N30" s="7">
        <f t="shared" ref="N30" si="26">N6-N12</f>
        <v>65531.207135000033</v>
      </c>
      <c r="O30" s="7">
        <f>O6-O12</f>
        <v>1021833.1297859997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0.11580832522112558</v>
      </c>
      <c r="D31" s="32">
        <f t="shared" ref="D31:E31" si="27">D30/D5</f>
        <v>-4.132269969880796E-2</v>
      </c>
      <c r="E31" s="32">
        <f t="shared" si="27"/>
        <v>5.1238137043606746E-2</v>
      </c>
      <c r="F31" s="32">
        <f t="shared" ref="F31:J31" si="28">F30/F5</f>
        <v>2.8294831902602485E-2</v>
      </c>
      <c r="G31" s="32">
        <f t="shared" si="28"/>
        <v>6.168676803058383E-2</v>
      </c>
      <c r="H31" s="32">
        <f t="shared" si="28"/>
        <v>-7.523894092597367E-3</v>
      </c>
      <c r="I31" s="32">
        <f t="shared" si="28"/>
        <v>2.5557450956500548E-2</v>
      </c>
      <c r="J31" s="32">
        <f t="shared" si="28"/>
        <v>8.8781135966999838E-2</v>
      </c>
      <c r="K31" s="32">
        <f t="shared" ref="K31:M31" si="29">K30/K5</f>
        <v>4.078751307500561E-2</v>
      </c>
      <c r="L31" s="32">
        <f t="shared" si="29"/>
        <v>7.9430951132855726E-2</v>
      </c>
      <c r="M31" s="32">
        <f t="shared" si="29"/>
        <v>9.5345091333286031E-2</v>
      </c>
      <c r="N31" s="32">
        <f t="shared" ref="N31" si="30">N30/N5</f>
        <v>3.2460346469302695E-2</v>
      </c>
      <c r="O31" s="32">
        <f>O30/O5</f>
        <v>5.0402682067052611E-2</v>
      </c>
    </row>
    <row r="32" spans="1:19" x14ac:dyDescent="0.25">
      <c r="A32" s="17"/>
      <c r="B32" s="18"/>
      <c r="C32" s="7"/>
      <c r="D32" s="19"/>
      <c r="E32" s="19"/>
      <c r="F32" s="19"/>
      <c r="G32" s="19"/>
    </row>
    <row r="41" spans="3:18" x14ac:dyDescent="0.25">
      <c r="G41" s="11">
        <v>2146970</v>
      </c>
      <c r="H41" s="11">
        <v>1885840</v>
      </c>
      <c r="I41" s="11">
        <v>1667586</v>
      </c>
      <c r="J41" s="11">
        <v>1545830</v>
      </c>
      <c r="K41" s="11">
        <v>1442854</v>
      </c>
      <c r="L41" s="11">
        <v>1256796</v>
      </c>
      <c r="M41" s="11">
        <v>1378776</v>
      </c>
      <c r="N41" s="11">
        <v>1512720</v>
      </c>
      <c r="O41" s="11">
        <v>1500420</v>
      </c>
      <c r="P41" s="11">
        <v>1716900</v>
      </c>
      <c r="Q41" s="11">
        <v>2199888</v>
      </c>
      <c r="R41" s="11">
        <v>2018808</v>
      </c>
    </row>
    <row r="45" spans="3:18" x14ac:dyDescent="0.25">
      <c r="C45" s="1">
        <f t="shared" ref="C45:N45" si="31">G41/1000</f>
        <v>2146.9699999999998</v>
      </c>
      <c r="D45" s="1">
        <f t="shared" si="31"/>
        <v>1885.84</v>
      </c>
      <c r="E45" s="1">
        <f t="shared" si="31"/>
        <v>1667.586</v>
      </c>
      <c r="F45" s="1">
        <f t="shared" si="31"/>
        <v>1545.83</v>
      </c>
      <c r="G45" s="1">
        <f t="shared" si="31"/>
        <v>1442.854</v>
      </c>
      <c r="H45" s="1">
        <f t="shared" si="31"/>
        <v>1256.796</v>
      </c>
      <c r="I45" s="1">
        <f t="shared" si="31"/>
        <v>1378.7760000000001</v>
      </c>
      <c r="J45" s="1">
        <f t="shared" si="31"/>
        <v>1512.72</v>
      </c>
      <c r="K45" s="1">
        <f t="shared" si="31"/>
        <v>1500.42</v>
      </c>
      <c r="L45" s="1">
        <f t="shared" si="31"/>
        <v>1716.9</v>
      </c>
      <c r="M45" s="1">
        <f t="shared" si="31"/>
        <v>2199.8879999999999</v>
      </c>
      <c r="N45" s="1">
        <f t="shared" si="31"/>
        <v>2018.808</v>
      </c>
    </row>
  </sheetData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2:O37"/>
  <sheetViews>
    <sheetView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6" sqref="C36:O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384" width="9.140625" style="1"/>
  </cols>
  <sheetData>
    <row r="2" spans="1:15" x14ac:dyDescent="0.25">
      <c r="B2" s="2" t="s">
        <v>47</v>
      </c>
    </row>
    <row r="4" spans="1:15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5" ht="47.25" x14ac:dyDescent="0.25">
      <c r="A5" s="5" t="s">
        <v>13</v>
      </c>
      <c r="B5" s="6" t="s">
        <v>14</v>
      </c>
      <c r="C5" s="7">
        <f t="shared" ref="C5:F5" si="0">C6</f>
        <v>2132028</v>
      </c>
      <c r="D5" s="7">
        <f t="shared" si="0"/>
        <v>1816200</v>
      </c>
      <c r="E5" s="7">
        <f t="shared" si="0"/>
        <v>1520260</v>
      </c>
      <c r="F5" s="7">
        <f t="shared" si="0"/>
        <v>1666724</v>
      </c>
      <c r="G5" s="7">
        <f>G6</f>
        <v>1514760</v>
      </c>
      <c r="H5" s="7">
        <f t="shared" ref="H5:N5" si="1">H6</f>
        <v>1514280</v>
      </c>
      <c r="I5" s="7">
        <f t="shared" si="1"/>
        <v>4204883</v>
      </c>
      <c r="J5" s="7">
        <f t="shared" si="1"/>
        <v>4329536</v>
      </c>
      <c r="K5" s="7">
        <f t="shared" si="1"/>
        <v>4326101</v>
      </c>
      <c r="L5" s="7">
        <f t="shared" si="1"/>
        <v>5472015</v>
      </c>
      <c r="M5" s="7">
        <f t="shared" si="1"/>
        <v>6119361</v>
      </c>
      <c r="N5" s="7">
        <f t="shared" si="1"/>
        <v>7059824</v>
      </c>
      <c r="O5" s="7">
        <f>O6</f>
        <v>41675972</v>
      </c>
    </row>
    <row r="6" spans="1:15" x14ac:dyDescent="0.25">
      <c r="A6" s="5" t="s">
        <v>15</v>
      </c>
      <c r="B6" s="9" t="s">
        <v>16</v>
      </c>
      <c r="C6" s="7">
        <f t="shared" ref="C6:O6" si="2">SUM(C7:C8)</f>
        <v>2132028</v>
      </c>
      <c r="D6" s="7">
        <f t="shared" si="2"/>
        <v>1816200</v>
      </c>
      <c r="E6" s="7">
        <f t="shared" si="2"/>
        <v>1520260</v>
      </c>
      <c r="F6" s="7">
        <f t="shared" si="2"/>
        <v>1666724</v>
      </c>
      <c r="G6" s="7">
        <f>SUM(G7:G8)</f>
        <v>1514760</v>
      </c>
      <c r="H6" s="7">
        <f t="shared" si="2"/>
        <v>1514280</v>
      </c>
      <c r="I6" s="7">
        <f>SUM(I7:I8)</f>
        <v>4204883</v>
      </c>
      <c r="J6" s="7">
        <f t="shared" si="2"/>
        <v>4329536</v>
      </c>
      <c r="K6" s="7">
        <f>SUM(K7:K8)</f>
        <v>4326101</v>
      </c>
      <c r="L6" s="7">
        <f>SUM(L7:L8)</f>
        <v>5472015</v>
      </c>
      <c r="M6" s="7">
        <f>SUM(M7:M8)</f>
        <v>6119361</v>
      </c>
      <c r="N6" s="7">
        <f>SUM(N7:N8)</f>
        <v>7059824</v>
      </c>
      <c r="O6" s="7">
        <f t="shared" si="2"/>
        <v>41675972</v>
      </c>
    </row>
    <row r="7" spans="1:15" x14ac:dyDescent="0.25">
      <c r="A7" s="5"/>
      <c r="B7" s="10" t="s">
        <v>17</v>
      </c>
      <c r="C7" s="7">
        <f>C10</f>
        <v>0</v>
      </c>
      <c r="D7" s="7">
        <f t="shared" ref="D7:O7" si="3">D10</f>
        <v>0</v>
      </c>
      <c r="E7" s="7">
        <f t="shared" si="3"/>
        <v>0</v>
      </c>
      <c r="F7" s="7">
        <f>F10</f>
        <v>0</v>
      </c>
      <c r="G7" s="7"/>
      <c r="H7" s="7"/>
      <c r="I7" s="7"/>
      <c r="J7" s="7"/>
      <c r="K7" s="7"/>
      <c r="L7" s="7"/>
      <c r="M7" s="7"/>
      <c r="N7" s="7"/>
      <c r="O7" s="7">
        <f t="shared" si="3"/>
        <v>0</v>
      </c>
    </row>
    <row r="8" spans="1:15" x14ac:dyDescent="0.25">
      <c r="A8" s="5"/>
      <c r="B8" s="10" t="s">
        <v>46</v>
      </c>
      <c r="C8" s="7">
        <v>2132028</v>
      </c>
      <c r="D8" s="11">
        <v>1816200</v>
      </c>
      <c r="E8" s="11">
        <v>1520260</v>
      </c>
      <c r="F8" s="11">
        <f>[1]Лист1!$O$13</f>
        <v>1666724</v>
      </c>
      <c r="G8" s="11">
        <v>1514760</v>
      </c>
      <c r="H8" s="7">
        <f>H11</f>
        <v>1514280</v>
      </c>
      <c r="I8" s="7">
        <f t="shared" ref="I8:O8" si="4">I11+I14</f>
        <v>4204883</v>
      </c>
      <c r="J8" s="7">
        <f t="shared" si="4"/>
        <v>4329536</v>
      </c>
      <c r="K8" s="7">
        <f t="shared" si="4"/>
        <v>4326101</v>
      </c>
      <c r="L8" s="7">
        <f t="shared" si="4"/>
        <v>5472015</v>
      </c>
      <c r="M8" s="7">
        <f t="shared" si="4"/>
        <v>6119361</v>
      </c>
      <c r="N8" s="7">
        <f t="shared" si="4"/>
        <v>7059824</v>
      </c>
      <c r="O8" s="7">
        <f t="shared" si="4"/>
        <v>41675972</v>
      </c>
    </row>
    <row r="9" spans="1:15" x14ac:dyDescent="0.25">
      <c r="A9" s="5" t="s">
        <v>19</v>
      </c>
      <c r="B9" s="10" t="s">
        <v>20</v>
      </c>
      <c r="C9" s="11">
        <f t="shared" ref="C9:F9" si="5">SUM(C10:C11)</f>
        <v>2132028</v>
      </c>
      <c r="D9" s="11">
        <f t="shared" si="5"/>
        <v>1816200</v>
      </c>
      <c r="E9" s="11">
        <f t="shared" si="5"/>
        <v>1520260</v>
      </c>
      <c r="F9" s="11">
        <f t="shared" si="5"/>
        <v>1666724</v>
      </c>
      <c r="G9" s="11">
        <f>SUM(G10:G11)</f>
        <v>1514760</v>
      </c>
      <c r="H9" s="11">
        <f t="shared" ref="H9:I9" si="6">SUM(H10:H11)</f>
        <v>1514280</v>
      </c>
      <c r="I9" s="11">
        <f t="shared" si="6"/>
        <v>1565388</v>
      </c>
      <c r="J9" s="11">
        <f t="shared" ref="J9:O9" si="7">SUM(J10:J11)</f>
        <v>1654836</v>
      </c>
      <c r="K9" s="11">
        <f t="shared" si="7"/>
        <v>1636296</v>
      </c>
      <c r="L9" s="11">
        <f t="shared" si="7"/>
        <v>2079444</v>
      </c>
      <c r="M9" s="11">
        <f t="shared" si="7"/>
        <v>2150352</v>
      </c>
      <c r="N9" s="11">
        <f t="shared" si="7"/>
        <v>2347668</v>
      </c>
      <c r="O9" s="11">
        <f t="shared" si="7"/>
        <v>21598236</v>
      </c>
    </row>
    <row r="10" spans="1:15" x14ac:dyDescent="0.25">
      <c r="A10" s="5"/>
      <c r="B10" s="10" t="s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>SUM(C10:N10)</f>
        <v>0</v>
      </c>
    </row>
    <row r="11" spans="1:15" x14ac:dyDescent="0.25">
      <c r="A11" s="5"/>
      <c r="B11" s="10" t="s">
        <v>46</v>
      </c>
      <c r="C11" s="11">
        <f>C8</f>
        <v>2132028</v>
      </c>
      <c r="D11" s="11">
        <f>D8</f>
        <v>1816200</v>
      </c>
      <c r="E11" s="11">
        <f>E8</f>
        <v>1520260</v>
      </c>
      <c r="F11" s="11">
        <f>[1]Лист1!$O$13</f>
        <v>1666724</v>
      </c>
      <c r="G11" s="11">
        <v>1514760</v>
      </c>
      <c r="H11" s="11">
        <v>1514280</v>
      </c>
      <c r="I11" s="23">
        <f>1565388</f>
        <v>1565388</v>
      </c>
      <c r="J11" s="7">
        <v>1654836</v>
      </c>
      <c r="K11" s="23">
        <v>1636296</v>
      </c>
      <c r="L11" s="23">
        <v>2079444</v>
      </c>
      <c r="M11" s="7">
        <v>2150352</v>
      </c>
      <c r="N11" s="23">
        <v>2347668</v>
      </c>
      <c r="O11" s="11">
        <f>SUM(C11:N11)</f>
        <v>21598236</v>
      </c>
    </row>
    <row r="12" spans="1:15" ht="18.75" x14ac:dyDescent="0.25">
      <c r="A12" s="24" t="s">
        <v>48</v>
      </c>
      <c r="B12" s="25" t="s">
        <v>49</v>
      </c>
      <c r="C12" s="11"/>
      <c r="D12" s="11"/>
      <c r="E12" s="11"/>
      <c r="F12" s="11"/>
      <c r="G12" s="11"/>
      <c r="H12" s="11"/>
      <c r="I12" s="11">
        <f t="shared" ref="I12:N12" si="8">SUM(I13:I14)</f>
        <v>2639495</v>
      </c>
      <c r="J12" s="11">
        <f t="shared" si="8"/>
        <v>2674700</v>
      </c>
      <c r="K12" s="11">
        <f t="shared" si="8"/>
        <v>2689805</v>
      </c>
      <c r="L12" s="11">
        <f t="shared" si="8"/>
        <v>3392571</v>
      </c>
      <c r="M12" s="11">
        <f t="shared" si="8"/>
        <v>3969009</v>
      </c>
      <c r="N12" s="11">
        <f t="shared" si="8"/>
        <v>4712156</v>
      </c>
      <c r="O12" s="11">
        <f t="shared" ref="O12" si="9">SUM(O13:O14)</f>
        <v>20077736</v>
      </c>
    </row>
    <row r="13" spans="1:15" x14ac:dyDescent="0.25">
      <c r="A13" s="5"/>
      <c r="B13" s="10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3"/>
      <c r="O13" s="11">
        <f>SUM(C13:N13)</f>
        <v>0</v>
      </c>
    </row>
    <row r="14" spans="1:15" x14ac:dyDescent="0.25">
      <c r="A14" s="5"/>
      <c r="B14" s="10" t="s">
        <v>46</v>
      </c>
      <c r="C14" s="11"/>
      <c r="D14" s="11"/>
      <c r="E14" s="11"/>
      <c r="F14" s="11"/>
      <c r="G14" s="11"/>
      <c r="H14" s="11"/>
      <c r="I14" s="23">
        <v>2639495</v>
      </c>
      <c r="J14" s="23">
        <f>2674700</f>
        <v>2674700</v>
      </c>
      <c r="K14" s="11">
        <v>2689805</v>
      </c>
      <c r="L14" s="11">
        <v>3392571</v>
      </c>
      <c r="M14" s="11">
        <v>3969009</v>
      </c>
      <c r="N14" s="23">
        <v>4712156</v>
      </c>
      <c r="O14" s="11">
        <f>SUM(C14:N14)</f>
        <v>20077736</v>
      </c>
    </row>
    <row r="15" spans="1:15" x14ac:dyDescent="0.25">
      <c r="A15" s="5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3"/>
      <c r="O15" s="11"/>
    </row>
    <row r="16" spans="1:15" x14ac:dyDescent="0.25">
      <c r="A16" s="5" t="s">
        <v>21</v>
      </c>
      <c r="B16" s="6" t="s">
        <v>22</v>
      </c>
      <c r="C16" s="7">
        <f>C17+C34</f>
        <v>1943223.252265</v>
      </c>
      <c r="D16" s="7">
        <f t="shared" ref="D16:O16" si="10">D17+D34</f>
        <v>1867963.305648</v>
      </c>
      <c r="E16" s="7">
        <f t="shared" si="10"/>
        <v>1783500.4994079999</v>
      </c>
      <c r="F16" s="7">
        <f t="shared" si="10"/>
        <v>1584173</v>
      </c>
      <c r="G16" s="7">
        <f t="shared" si="10"/>
        <v>1387869.963148</v>
      </c>
      <c r="H16" s="7">
        <f>H17+H34</f>
        <v>1450524</v>
      </c>
      <c r="I16" s="7">
        <f>I17+I34</f>
        <v>3992978</v>
      </c>
      <c r="J16" s="7">
        <f>J17+J34</f>
        <v>4194802</v>
      </c>
      <c r="K16" s="7">
        <f>K17+K34</f>
        <v>4309530</v>
      </c>
      <c r="L16" s="7">
        <f>L17+L34</f>
        <v>5138252</v>
      </c>
      <c r="M16" s="7">
        <f t="shared" si="10"/>
        <v>6084965</v>
      </c>
      <c r="N16" s="7">
        <f>N17+N34</f>
        <v>6698716</v>
      </c>
      <c r="O16" s="7">
        <f t="shared" si="10"/>
        <v>40436497.020468995</v>
      </c>
    </row>
    <row r="17" spans="1:15" s="2" customFormat="1" ht="31.5" x14ac:dyDescent="0.25">
      <c r="A17" s="5" t="s">
        <v>23</v>
      </c>
      <c r="B17" s="10" t="s">
        <v>24</v>
      </c>
      <c r="C17" s="7">
        <f>C18+C22+C34</f>
        <v>1943223.252265</v>
      </c>
      <c r="D17" s="7">
        <f t="shared" ref="D17:G17" si="11">D18+D22+D34</f>
        <v>1867963.305648</v>
      </c>
      <c r="E17" s="7">
        <f t="shared" si="11"/>
        <v>1783500.4994079999</v>
      </c>
      <c r="F17" s="7">
        <f t="shared" si="11"/>
        <v>1584173</v>
      </c>
      <c r="G17" s="7">
        <f t="shared" si="11"/>
        <v>1387869.963148</v>
      </c>
      <c r="H17" s="7">
        <f>H18+H22+H34</f>
        <v>1450524</v>
      </c>
      <c r="I17" s="7">
        <f t="shared" ref="I17:M17" si="12">I18+I22</f>
        <v>2742686</v>
      </c>
      <c r="J17" s="7">
        <f t="shared" si="12"/>
        <v>2940390</v>
      </c>
      <c r="K17" s="7">
        <f t="shared" si="12"/>
        <v>3120710</v>
      </c>
      <c r="L17" s="7">
        <f t="shared" si="12"/>
        <v>3710492</v>
      </c>
      <c r="M17" s="7">
        <f t="shared" si="12"/>
        <v>4294131</v>
      </c>
      <c r="N17" s="7">
        <f>N18+N22</f>
        <v>4735404</v>
      </c>
      <c r="O17" s="7">
        <f>O18+O22</f>
        <v>31561067.020468999</v>
      </c>
    </row>
    <row r="18" spans="1:15" s="2" customFormat="1" ht="31.5" x14ac:dyDescent="0.25">
      <c r="A18" s="12" t="s">
        <v>25</v>
      </c>
      <c r="B18" s="10" t="s">
        <v>26</v>
      </c>
      <c r="C18" s="7">
        <f t="shared" ref="C18:F18" si="13">SUM(C19:C20)</f>
        <v>763371</v>
      </c>
      <c r="D18" s="7">
        <f t="shared" si="13"/>
        <v>735865</v>
      </c>
      <c r="E18" s="7">
        <f t="shared" si="13"/>
        <v>668426</v>
      </c>
      <c r="F18" s="7">
        <f t="shared" si="13"/>
        <v>604050</v>
      </c>
      <c r="G18" s="7">
        <f t="shared" ref="G18:H18" si="14">SUM(G19:G20)</f>
        <v>416272</v>
      </c>
      <c r="H18" s="7">
        <f t="shared" si="14"/>
        <v>545903</v>
      </c>
      <c r="I18" s="7">
        <f t="shared" ref="I18:N18" si="15">SUM(I19:I21)</f>
        <v>1781820</v>
      </c>
      <c r="J18" s="7">
        <f t="shared" si="15"/>
        <v>1876983</v>
      </c>
      <c r="K18" s="7">
        <f t="shared" si="15"/>
        <v>1843760</v>
      </c>
      <c r="L18" s="7">
        <f t="shared" si="15"/>
        <v>2490652</v>
      </c>
      <c r="M18" s="7">
        <f t="shared" si="15"/>
        <v>2877585</v>
      </c>
      <c r="N18" s="7">
        <f t="shared" si="15"/>
        <v>3413933</v>
      </c>
      <c r="O18" s="7">
        <f>SUM(O19:O21)</f>
        <v>18018620</v>
      </c>
    </row>
    <row r="19" spans="1:15" x14ac:dyDescent="0.25">
      <c r="A19" s="12"/>
      <c r="B19" s="10" t="s">
        <v>17</v>
      </c>
      <c r="C19" s="11">
        <v>654127</v>
      </c>
      <c r="D19" s="11">
        <v>649319</v>
      </c>
      <c r="E19" s="11">
        <v>604667</v>
      </c>
      <c r="F19" s="11">
        <v>528250</v>
      </c>
      <c r="G19" s="11">
        <v>328941</v>
      </c>
      <c r="H19" s="11">
        <v>446532</v>
      </c>
      <c r="I19" s="11">
        <v>697890</v>
      </c>
      <c r="J19" s="11">
        <v>797667</v>
      </c>
      <c r="K19" s="11">
        <v>763055</v>
      </c>
      <c r="L19" s="11">
        <v>990231</v>
      </c>
      <c r="M19" s="11">
        <v>1147903</v>
      </c>
      <c r="N19" s="11">
        <v>1506153</v>
      </c>
      <c r="O19" s="11">
        <f>SUM(C19:N19)</f>
        <v>9114735</v>
      </c>
    </row>
    <row r="20" spans="1:15" x14ac:dyDescent="0.25">
      <c r="A20" s="12"/>
      <c r="B20" s="10" t="s">
        <v>18</v>
      </c>
      <c r="C20" s="11">
        <v>109244</v>
      </c>
      <c r="D20" s="11">
        <v>86546</v>
      </c>
      <c r="E20" s="11">
        <v>63759</v>
      </c>
      <c r="F20" s="11">
        <v>75800</v>
      </c>
      <c r="G20" s="11">
        <v>87331</v>
      </c>
      <c r="H20" s="11">
        <v>99371</v>
      </c>
      <c r="I20" s="11">
        <v>130751</v>
      </c>
      <c r="J20" s="11">
        <v>134965</v>
      </c>
      <c r="K20" s="11">
        <v>109999</v>
      </c>
      <c r="L20" s="11">
        <v>134027</v>
      </c>
      <c r="M20" s="7">
        <v>156996</v>
      </c>
      <c r="N20" s="11">
        <v>169989</v>
      </c>
      <c r="O20" s="11">
        <f>SUM(C20:N20)</f>
        <v>1358778</v>
      </c>
    </row>
    <row r="21" spans="1:15" x14ac:dyDescent="0.25">
      <c r="A21" s="12"/>
      <c r="B21" s="10" t="s">
        <v>46</v>
      </c>
      <c r="C21" s="11"/>
      <c r="D21" s="11"/>
      <c r="E21" s="11"/>
      <c r="F21" s="11"/>
      <c r="G21" s="11"/>
      <c r="H21" s="11"/>
      <c r="I21" s="23">
        <v>953179</v>
      </c>
      <c r="J21" s="26">
        <v>944351</v>
      </c>
      <c r="K21" s="11">
        <v>970706</v>
      </c>
      <c r="L21" s="11">
        <v>1366394</v>
      </c>
      <c r="M21" s="7">
        <v>1572686</v>
      </c>
      <c r="N21" s="11">
        <v>1737791</v>
      </c>
      <c r="O21" s="11">
        <f>SUM(C21:N21)</f>
        <v>7545107</v>
      </c>
    </row>
    <row r="22" spans="1:15" ht="31.5" x14ac:dyDescent="0.25">
      <c r="A22" s="12" t="s">
        <v>27</v>
      </c>
      <c r="B22" s="10" t="s">
        <v>28</v>
      </c>
      <c r="C22" s="7">
        <f t="shared" ref="C22:M22" si="16">C23+C24</f>
        <v>1179852.252265</v>
      </c>
      <c r="D22" s="7">
        <f t="shared" si="16"/>
        <v>1132098.305648</v>
      </c>
      <c r="E22" s="7">
        <f t="shared" si="16"/>
        <v>1115074.4994079999</v>
      </c>
      <c r="F22" s="7">
        <f t="shared" si="16"/>
        <v>980123</v>
      </c>
      <c r="G22" s="7">
        <f t="shared" si="16"/>
        <v>971597.96314799995</v>
      </c>
      <c r="H22" s="7">
        <f t="shared" si="16"/>
        <v>904621</v>
      </c>
      <c r="I22" s="7">
        <f t="shared" si="16"/>
        <v>960866</v>
      </c>
      <c r="J22" s="7">
        <f t="shared" si="16"/>
        <v>1063407</v>
      </c>
      <c r="K22" s="7">
        <f t="shared" si="16"/>
        <v>1276950</v>
      </c>
      <c r="L22" s="7">
        <f t="shared" si="16"/>
        <v>1219840</v>
      </c>
      <c r="M22" s="7">
        <f t="shared" si="16"/>
        <v>1416546</v>
      </c>
      <c r="N22" s="7">
        <f>N23+N24</f>
        <v>1321471</v>
      </c>
      <c r="O22" s="7">
        <f>O23+O24</f>
        <v>13542447.020468999</v>
      </c>
    </row>
    <row r="23" spans="1:15" x14ac:dyDescent="0.25">
      <c r="A23" s="12"/>
      <c r="B23" s="10" t="s">
        <v>17</v>
      </c>
      <c r="C23" s="7">
        <f>C29+C32</f>
        <v>465549</v>
      </c>
      <c r="D23" s="7">
        <f t="shared" ref="D23:M23" si="17">D29+D32</f>
        <v>476932</v>
      </c>
      <c r="E23" s="7">
        <f t="shared" si="17"/>
        <v>552912</v>
      </c>
      <c r="F23" s="7">
        <f t="shared" si="17"/>
        <v>438267</v>
      </c>
      <c r="G23" s="7">
        <f t="shared" si="17"/>
        <v>413176</v>
      </c>
      <c r="H23" s="7">
        <f t="shared" si="17"/>
        <v>411794</v>
      </c>
      <c r="I23" s="7">
        <f t="shared" si="17"/>
        <v>457451</v>
      </c>
      <c r="J23" s="7">
        <f t="shared" si="17"/>
        <v>525322</v>
      </c>
      <c r="K23" s="7">
        <f t="shared" si="17"/>
        <v>716043</v>
      </c>
      <c r="L23" s="7">
        <f t="shared" si="17"/>
        <v>624728</v>
      </c>
      <c r="M23" s="7">
        <f t="shared" si="17"/>
        <v>743423</v>
      </c>
      <c r="N23" s="7">
        <f>N29+N32</f>
        <v>673404</v>
      </c>
      <c r="O23" s="7">
        <f>SUM(C23:N23)</f>
        <v>6499001</v>
      </c>
    </row>
    <row r="24" spans="1:15" x14ac:dyDescent="0.25">
      <c r="A24" s="12"/>
      <c r="B24" s="10" t="s">
        <v>18</v>
      </c>
      <c r="C24" s="7">
        <f>C30+C33</f>
        <v>714303.25226500002</v>
      </c>
      <c r="D24" s="7">
        <f t="shared" ref="D24:M24" si="18">D30+D33</f>
        <v>655166.30564799998</v>
      </c>
      <c r="E24" s="7">
        <f t="shared" si="18"/>
        <v>562162.49940799992</v>
      </c>
      <c r="F24" s="7">
        <f t="shared" si="18"/>
        <v>541856</v>
      </c>
      <c r="G24" s="7">
        <f t="shared" si="18"/>
        <v>558421.96314799995</v>
      </c>
      <c r="H24" s="7">
        <f t="shared" si="18"/>
        <v>492827</v>
      </c>
      <c r="I24" s="7">
        <f t="shared" si="18"/>
        <v>503415</v>
      </c>
      <c r="J24" s="7">
        <f t="shared" si="18"/>
        <v>538085</v>
      </c>
      <c r="K24" s="7">
        <f t="shared" si="18"/>
        <v>560907</v>
      </c>
      <c r="L24" s="7">
        <f t="shared" si="18"/>
        <v>595112</v>
      </c>
      <c r="M24" s="7">
        <f t="shared" si="18"/>
        <v>673123</v>
      </c>
      <c r="N24" s="7">
        <f>N30+N33</f>
        <v>648067</v>
      </c>
      <c r="O24" s="7">
        <f>SUM(C24:N24)</f>
        <v>7043446.0204689996</v>
      </c>
    </row>
    <row r="25" spans="1:15" x14ac:dyDescent="0.25">
      <c r="A25" s="12" t="s">
        <v>40</v>
      </c>
      <c r="B25" s="10" t="s">
        <v>29</v>
      </c>
      <c r="C25" s="7">
        <f>SUM(C26:C27)</f>
        <v>1179852.252265</v>
      </c>
      <c r="D25" s="7">
        <f t="shared" ref="D25:N25" si="19">SUM(D26:D27)</f>
        <v>1132098.305648</v>
      </c>
      <c r="E25" s="7">
        <f t="shared" si="19"/>
        <v>1115074.4994079999</v>
      </c>
      <c r="F25" s="7">
        <f t="shared" si="19"/>
        <v>980123</v>
      </c>
      <c r="G25" s="7">
        <f t="shared" si="19"/>
        <v>971597.96314799995</v>
      </c>
      <c r="H25" s="7">
        <f t="shared" si="19"/>
        <v>904621</v>
      </c>
      <c r="I25" s="7">
        <f t="shared" si="19"/>
        <v>960866</v>
      </c>
      <c r="J25" s="7">
        <f t="shared" si="19"/>
        <v>1063407</v>
      </c>
      <c r="K25" s="7">
        <f t="shared" si="19"/>
        <v>1276950</v>
      </c>
      <c r="L25" s="7">
        <f t="shared" si="19"/>
        <v>1219840</v>
      </c>
      <c r="M25" s="7">
        <f t="shared" si="19"/>
        <v>1416546</v>
      </c>
      <c r="N25" s="7">
        <f t="shared" si="19"/>
        <v>1321471</v>
      </c>
      <c r="O25" s="7">
        <f>SUM(O26:O27)</f>
        <v>13542447.020468999</v>
      </c>
    </row>
    <row r="26" spans="1:15" x14ac:dyDescent="0.25">
      <c r="A26" s="3"/>
      <c r="B26" s="10" t="s">
        <v>17</v>
      </c>
      <c r="C26" s="11">
        <f>C29+C32</f>
        <v>465549</v>
      </c>
      <c r="D26" s="11">
        <f t="shared" ref="D26:M26" si="20">D29+D32</f>
        <v>476932</v>
      </c>
      <c r="E26" s="11">
        <f t="shared" si="20"/>
        <v>552912</v>
      </c>
      <c r="F26" s="11">
        <f t="shared" si="20"/>
        <v>438267</v>
      </c>
      <c r="G26" s="11">
        <f t="shared" si="20"/>
        <v>413176</v>
      </c>
      <c r="H26" s="11">
        <f t="shared" si="20"/>
        <v>411794</v>
      </c>
      <c r="I26" s="11">
        <f t="shared" si="20"/>
        <v>457451</v>
      </c>
      <c r="J26" s="11">
        <f t="shared" si="20"/>
        <v>525322</v>
      </c>
      <c r="K26" s="11">
        <f t="shared" si="20"/>
        <v>716043</v>
      </c>
      <c r="L26" s="11">
        <f t="shared" si="20"/>
        <v>624728</v>
      </c>
      <c r="M26" s="11">
        <f t="shared" si="20"/>
        <v>743423</v>
      </c>
      <c r="N26" s="11">
        <f>N29+N32</f>
        <v>673404</v>
      </c>
      <c r="O26" s="7">
        <f>O29+O32</f>
        <v>6499001</v>
      </c>
    </row>
    <row r="27" spans="1:15" x14ac:dyDescent="0.25">
      <c r="A27" s="3"/>
      <c r="B27" s="10" t="s">
        <v>18</v>
      </c>
      <c r="C27" s="11">
        <f>C30+C33</f>
        <v>714303.25226500002</v>
      </c>
      <c r="D27" s="11">
        <f t="shared" ref="D27:N27" si="21">D30+D33</f>
        <v>655166.30564799998</v>
      </c>
      <c r="E27" s="11">
        <f t="shared" si="21"/>
        <v>562162.49940799992</v>
      </c>
      <c r="F27" s="11">
        <f t="shared" si="21"/>
        <v>541856</v>
      </c>
      <c r="G27" s="11">
        <f t="shared" si="21"/>
        <v>558421.96314799995</v>
      </c>
      <c r="H27" s="11">
        <f t="shared" si="21"/>
        <v>492827</v>
      </c>
      <c r="I27" s="11">
        <f t="shared" si="21"/>
        <v>503415</v>
      </c>
      <c r="J27" s="11">
        <f t="shared" si="21"/>
        <v>538085</v>
      </c>
      <c r="K27" s="11">
        <f t="shared" si="21"/>
        <v>560907</v>
      </c>
      <c r="L27" s="11">
        <f t="shared" si="21"/>
        <v>595112</v>
      </c>
      <c r="M27" s="11">
        <f t="shared" si="21"/>
        <v>673123</v>
      </c>
      <c r="N27" s="11">
        <f t="shared" si="21"/>
        <v>648067</v>
      </c>
      <c r="O27" s="7">
        <f>O30+O33</f>
        <v>7043446.0204689996</v>
      </c>
    </row>
    <row r="28" spans="1:15" ht="63" x14ac:dyDescent="0.25">
      <c r="A28" s="3" t="s">
        <v>41</v>
      </c>
      <c r="B28" s="13" t="s">
        <v>30</v>
      </c>
      <c r="C28" s="11">
        <f t="shared" ref="C28:O28" si="22">SUM(C29:C30)</f>
        <v>411255</v>
      </c>
      <c r="D28" s="11">
        <f t="shared" si="22"/>
        <v>417040</v>
      </c>
      <c r="E28" s="11">
        <f t="shared" si="22"/>
        <v>422550</v>
      </c>
      <c r="F28" s="11">
        <f t="shared" si="22"/>
        <v>428835</v>
      </c>
      <c r="G28" s="11">
        <f t="shared" si="22"/>
        <v>434240</v>
      </c>
      <c r="H28" s="11">
        <f t="shared" si="22"/>
        <v>437410</v>
      </c>
      <c r="I28" s="11">
        <f t="shared" si="22"/>
        <v>467175</v>
      </c>
      <c r="J28" s="11">
        <f t="shared" si="22"/>
        <v>473287</v>
      </c>
      <c r="K28" s="11">
        <f t="shared" si="22"/>
        <v>482140</v>
      </c>
      <c r="L28" s="11">
        <f t="shared" si="22"/>
        <v>491160</v>
      </c>
      <c r="M28" s="11">
        <f t="shared" si="22"/>
        <v>498100</v>
      </c>
      <c r="N28" s="11">
        <f t="shared" si="22"/>
        <v>510660</v>
      </c>
      <c r="O28" s="11">
        <f t="shared" si="22"/>
        <v>5473852</v>
      </c>
    </row>
    <row r="29" spans="1:15" x14ac:dyDescent="0.25">
      <c r="A29" s="3"/>
      <c r="B29" s="10" t="s">
        <v>17</v>
      </c>
      <c r="C29" s="11">
        <v>128520</v>
      </c>
      <c r="D29" s="11">
        <v>133705</v>
      </c>
      <c r="E29" s="11">
        <v>138465</v>
      </c>
      <c r="F29" s="11">
        <v>144505</v>
      </c>
      <c r="G29" s="11">
        <v>148710</v>
      </c>
      <c r="H29" s="11">
        <v>151165</v>
      </c>
      <c r="I29" s="11">
        <v>179480</v>
      </c>
      <c r="J29" s="11">
        <v>184510</v>
      </c>
      <c r="K29" s="11">
        <v>191405</v>
      </c>
      <c r="L29" s="11">
        <v>199785</v>
      </c>
      <c r="M29" s="11">
        <v>206395</v>
      </c>
      <c r="N29" s="11">
        <v>218055</v>
      </c>
      <c r="O29" s="11">
        <f>SUM(C29:N29)</f>
        <v>2024700</v>
      </c>
    </row>
    <row r="30" spans="1:15" x14ac:dyDescent="0.25">
      <c r="A30" s="3"/>
      <c r="B30" s="10" t="s">
        <v>18</v>
      </c>
      <c r="C30" s="11">
        <v>282735</v>
      </c>
      <c r="D30" s="11">
        <v>283335</v>
      </c>
      <c r="E30" s="11">
        <v>284085</v>
      </c>
      <c r="F30" s="11">
        <v>284330</v>
      </c>
      <c r="G30" s="11">
        <v>285530</v>
      </c>
      <c r="H30" s="11">
        <v>286245</v>
      </c>
      <c r="I30" s="11">
        <v>287695</v>
      </c>
      <c r="J30" s="11">
        <v>288777</v>
      </c>
      <c r="K30" s="11">
        <v>290735</v>
      </c>
      <c r="L30" s="11">
        <v>291375</v>
      </c>
      <c r="M30" s="11">
        <v>291705</v>
      </c>
      <c r="N30" s="11">
        <v>292605</v>
      </c>
      <c r="O30" s="11">
        <f>SUM(C30:N30)</f>
        <v>3449152</v>
      </c>
    </row>
    <row r="31" spans="1:15" ht="63" x14ac:dyDescent="0.25">
      <c r="A31" s="3" t="s">
        <v>42</v>
      </c>
      <c r="B31" s="13" t="s">
        <v>31</v>
      </c>
      <c r="C31" s="11">
        <f t="shared" ref="C31:N31" si="23">SUM(C32:C33)</f>
        <v>768597.25226500002</v>
      </c>
      <c r="D31" s="11">
        <f t="shared" si="23"/>
        <v>715058.30564799998</v>
      </c>
      <c r="E31" s="11">
        <f t="shared" si="23"/>
        <v>692524.49940799992</v>
      </c>
      <c r="F31" s="11">
        <f t="shared" si="23"/>
        <v>551288</v>
      </c>
      <c r="G31" s="11">
        <f t="shared" si="23"/>
        <v>537357.96314799995</v>
      </c>
      <c r="H31" s="11">
        <f t="shared" si="23"/>
        <v>467211</v>
      </c>
      <c r="I31" s="11">
        <f t="shared" si="23"/>
        <v>493691</v>
      </c>
      <c r="J31" s="11">
        <f t="shared" si="23"/>
        <v>590120</v>
      </c>
      <c r="K31" s="11">
        <f t="shared" si="23"/>
        <v>794810</v>
      </c>
      <c r="L31" s="11">
        <f t="shared" si="23"/>
        <v>728680</v>
      </c>
      <c r="M31" s="11">
        <f t="shared" si="23"/>
        <v>918446</v>
      </c>
      <c r="N31" s="11">
        <f t="shared" si="23"/>
        <v>810811</v>
      </c>
      <c r="O31" s="11">
        <f>SUM(O32:O33)</f>
        <v>8068595.0204689996</v>
      </c>
    </row>
    <row r="32" spans="1:15" x14ac:dyDescent="0.25">
      <c r="A32" s="3"/>
      <c r="B32" s="10" t="s">
        <v>17</v>
      </c>
      <c r="C32" s="11">
        <v>337029</v>
      </c>
      <c r="D32" s="11">
        <v>343227</v>
      </c>
      <c r="E32" s="11">
        <v>414447</v>
      </c>
      <c r="F32" s="11">
        <v>293762</v>
      </c>
      <c r="G32" s="11">
        <v>264466</v>
      </c>
      <c r="H32" s="11">
        <v>260629</v>
      </c>
      <c r="I32" s="11">
        <v>277971</v>
      </c>
      <c r="J32" s="11">
        <v>340812</v>
      </c>
      <c r="K32" s="11">
        <v>524638</v>
      </c>
      <c r="L32" s="11">
        <v>424943</v>
      </c>
      <c r="M32" s="11">
        <v>537028</v>
      </c>
      <c r="N32" s="11">
        <v>455349</v>
      </c>
      <c r="O32" s="11">
        <f>SUM(C32:N32)</f>
        <v>4474301</v>
      </c>
    </row>
    <row r="33" spans="1:15" x14ac:dyDescent="0.25">
      <c r="A33" s="3"/>
      <c r="B33" s="10" t="s">
        <v>18</v>
      </c>
      <c r="C33" s="11">
        <v>431568.25226500002</v>
      </c>
      <c r="D33" s="11">
        <v>371831.30564799998</v>
      </c>
      <c r="E33" s="11">
        <v>278077.49940799997</v>
      </c>
      <c r="F33" s="11">
        <v>257526</v>
      </c>
      <c r="G33" s="11">
        <v>272891.96314800001</v>
      </c>
      <c r="H33" s="11">
        <v>206582</v>
      </c>
      <c r="I33" s="11">
        <v>215720</v>
      </c>
      <c r="J33" s="11">
        <v>249308</v>
      </c>
      <c r="K33" s="11">
        <v>270172</v>
      </c>
      <c r="L33" s="11">
        <v>303737</v>
      </c>
      <c r="M33" s="11">
        <v>381418</v>
      </c>
      <c r="N33" s="11">
        <v>355462</v>
      </c>
      <c r="O33" s="11">
        <f>SUM(C33:N33)</f>
        <v>3594294.0204689996</v>
      </c>
    </row>
    <row r="34" spans="1:15" x14ac:dyDescent="0.25">
      <c r="A34" s="5" t="s">
        <v>32</v>
      </c>
      <c r="B34" s="10" t="s">
        <v>33</v>
      </c>
      <c r="C34" s="11"/>
      <c r="D34" s="11"/>
      <c r="E34" s="11"/>
      <c r="F34" s="11"/>
      <c r="G34" s="11"/>
      <c r="H34" s="11"/>
      <c r="I34" s="11">
        <v>1250292</v>
      </c>
      <c r="J34" s="11">
        <v>1254412</v>
      </c>
      <c r="K34" s="11">
        <v>1188820</v>
      </c>
      <c r="L34" s="11">
        <v>1427760</v>
      </c>
      <c r="M34" s="11">
        <v>1790834</v>
      </c>
      <c r="N34" s="11">
        <v>1963312</v>
      </c>
      <c r="O34" s="11">
        <f>SUM(C34:N34)</f>
        <v>8875430</v>
      </c>
    </row>
    <row r="35" spans="1:15" ht="31.5" x14ac:dyDescent="0.25">
      <c r="A35" s="5"/>
      <c r="B35" s="6" t="s">
        <v>34</v>
      </c>
      <c r="C35" s="7">
        <f>C5-C16</f>
        <v>188804.74773499998</v>
      </c>
      <c r="D35" s="7">
        <f t="shared" ref="D35:E35" si="24">D6-D16</f>
        <v>-51763.30564799998</v>
      </c>
      <c r="E35" s="7">
        <f t="shared" si="24"/>
        <v>-263240.49940799992</v>
      </c>
      <c r="F35" s="7">
        <f>F6-F16</f>
        <v>82551</v>
      </c>
      <c r="G35" s="7">
        <f>G6-G16</f>
        <v>126890.03685200005</v>
      </c>
      <c r="H35" s="7">
        <f>H6-H16</f>
        <v>63756</v>
      </c>
      <c r="I35" s="7">
        <f>I5-I16</f>
        <v>211905</v>
      </c>
      <c r="J35" s="7">
        <f>J6-J16</f>
        <v>134734</v>
      </c>
      <c r="K35" s="7">
        <f t="shared" ref="K35:O35" si="25">K6-K16</f>
        <v>16571</v>
      </c>
      <c r="L35" s="7">
        <f>L6-L16</f>
        <v>333763</v>
      </c>
      <c r="M35" s="7">
        <f t="shared" si="25"/>
        <v>34396</v>
      </c>
      <c r="N35" s="7">
        <f>N6-N16</f>
        <v>361108</v>
      </c>
      <c r="O35" s="7">
        <f t="shared" si="25"/>
        <v>1239474.979531005</v>
      </c>
    </row>
    <row r="36" spans="1:15" x14ac:dyDescent="0.25">
      <c r="A36" s="5"/>
      <c r="B36" s="6" t="s">
        <v>35</v>
      </c>
      <c r="C36" s="32">
        <f>C35/C5</f>
        <v>8.8556410954734169E-2</v>
      </c>
      <c r="D36" s="32">
        <f t="shared" ref="D36:N36" si="26">D35/D5</f>
        <v>-2.8500884070036328E-2</v>
      </c>
      <c r="E36" s="32">
        <f t="shared" si="26"/>
        <v>-0.17315492047939163</v>
      </c>
      <c r="F36" s="32">
        <f t="shared" si="26"/>
        <v>4.9528896205970514E-2</v>
      </c>
      <c r="G36" s="32">
        <f t="shared" si="26"/>
        <v>8.3769070250072644E-2</v>
      </c>
      <c r="H36" s="32">
        <f t="shared" si="26"/>
        <v>4.2103177747840559E-2</v>
      </c>
      <c r="I36" s="32">
        <f t="shared" si="26"/>
        <v>5.0394981263450135E-2</v>
      </c>
      <c r="J36" s="32">
        <f t="shared" si="26"/>
        <v>3.1119731998994812E-2</v>
      </c>
      <c r="K36" s="32">
        <f t="shared" si="26"/>
        <v>3.8304699774693194E-3</v>
      </c>
      <c r="L36" s="32">
        <f t="shared" si="26"/>
        <v>6.0994533092471423E-2</v>
      </c>
      <c r="M36" s="32">
        <f t="shared" si="26"/>
        <v>5.6208483206007945E-3</v>
      </c>
      <c r="N36" s="32">
        <f t="shared" si="26"/>
        <v>5.1149717046770571E-2</v>
      </c>
      <c r="O36" s="32">
        <f>O35/O5</f>
        <v>2.9740757564838679E-2</v>
      </c>
    </row>
    <row r="37" spans="1:15" x14ac:dyDescent="0.25">
      <c r="A37" s="17"/>
      <c r="B37" s="18"/>
      <c r="C37" s="18"/>
      <c r="D37" s="19"/>
      <c r="E37" s="19"/>
      <c r="F37" s="19"/>
      <c r="G37" s="19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N36" sqref="C36:N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50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8058573</v>
      </c>
      <c r="D5" s="7">
        <f t="shared" si="0"/>
        <v>6890842</v>
      </c>
      <c r="E5" s="7">
        <f t="shared" si="0"/>
        <v>6789534</v>
      </c>
      <c r="F5" s="7">
        <f t="shared" si="0"/>
        <v>5538350</v>
      </c>
      <c r="G5" s="7">
        <f>G6</f>
        <v>5095370</v>
      </c>
      <c r="H5" s="7">
        <f>H6</f>
        <v>4030915</v>
      </c>
      <c r="I5" s="7">
        <f t="shared" ref="I5:N5" si="1">I6</f>
        <v>3908379</v>
      </c>
      <c r="J5" s="7">
        <f t="shared" si="1"/>
        <v>3967384</v>
      </c>
      <c r="K5" s="40">
        <f t="shared" si="1"/>
        <v>4193560</v>
      </c>
      <c r="L5" s="40">
        <f t="shared" si="1"/>
        <v>5503185</v>
      </c>
      <c r="M5" s="40">
        <f t="shared" si="1"/>
        <v>6303357</v>
      </c>
      <c r="N5" s="40">
        <f t="shared" si="1"/>
        <v>7587997</v>
      </c>
      <c r="O5" s="7">
        <f>O6</f>
        <v>67867446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8058573</v>
      </c>
      <c r="D6" s="7">
        <f t="shared" si="2"/>
        <v>6890842</v>
      </c>
      <c r="E6" s="7">
        <f t="shared" si="2"/>
        <v>6789534</v>
      </c>
      <c r="F6" s="7">
        <f t="shared" si="2"/>
        <v>5538350</v>
      </c>
      <c r="G6" s="7">
        <f>SUM(G7:G8)</f>
        <v>5095370</v>
      </c>
      <c r="H6" s="7">
        <f>SUM(H7:H8)</f>
        <v>4030915</v>
      </c>
      <c r="I6" s="7">
        <f>SUM(I7:I8)</f>
        <v>3908379</v>
      </c>
      <c r="J6" s="7">
        <f t="shared" si="2"/>
        <v>3967384</v>
      </c>
      <c r="K6" s="40">
        <f t="shared" ref="K6:L6" si="3">SUM(K7:K8)</f>
        <v>4193560</v>
      </c>
      <c r="L6" s="40">
        <f t="shared" si="3"/>
        <v>5503185</v>
      </c>
      <c r="M6" s="40">
        <f t="shared" ref="M6:N6" si="4">SUM(M7:M8)</f>
        <v>6303357</v>
      </c>
      <c r="N6" s="40">
        <f t="shared" si="4"/>
        <v>7587997</v>
      </c>
      <c r="O6" s="7">
        <f t="shared" si="2"/>
        <v>67867446</v>
      </c>
    </row>
    <row r="7" spans="1:18" x14ac:dyDescent="0.25">
      <c r="A7" s="5"/>
      <c r="B7" s="10" t="s">
        <v>17</v>
      </c>
      <c r="C7" s="7">
        <f>C10</f>
        <v>0</v>
      </c>
      <c r="D7" s="7">
        <f t="shared" ref="D7:O7" si="5">D10</f>
        <v>0</v>
      </c>
      <c r="E7" s="7">
        <f t="shared" si="5"/>
        <v>0</v>
      </c>
      <c r="F7" s="7">
        <f>F10</f>
        <v>0</v>
      </c>
      <c r="G7" s="7"/>
      <c r="H7" s="7"/>
      <c r="I7" s="7"/>
      <c r="J7" s="7"/>
      <c r="K7" s="40"/>
      <c r="L7" s="39"/>
      <c r="M7" s="39"/>
      <c r="N7" s="40"/>
      <c r="O7" s="7">
        <f t="shared" si="5"/>
        <v>0</v>
      </c>
    </row>
    <row r="8" spans="1:18" x14ac:dyDescent="0.25">
      <c r="A8" s="5"/>
      <c r="B8" s="10" t="s">
        <v>46</v>
      </c>
      <c r="C8" s="7">
        <f t="shared" ref="C8:J8" si="6">C11+C14</f>
        <v>8058573</v>
      </c>
      <c r="D8" s="11">
        <f t="shared" si="6"/>
        <v>6890842</v>
      </c>
      <c r="E8" s="7">
        <f t="shared" si="6"/>
        <v>6789534</v>
      </c>
      <c r="F8" s="7">
        <f t="shared" si="6"/>
        <v>5538350</v>
      </c>
      <c r="G8" s="7">
        <f t="shared" si="6"/>
        <v>5095370</v>
      </c>
      <c r="H8" s="7">
        <f t="shared" si="6"/>
        <v>4030915</v>
      </c>
      <c r="I8" s="7">
        <f t="shared" si="6"/>
        <v>3908379</v>
      </c>
      <c r="J8" s="7">
        <f t="shared" si="6"/>
        <v>3967384</v>
      </c>
      <c r="K8" s="40">
        <f t="shared" ref="K8:L8" si="7">K11+K14</f>
        <v>4193560</v>
      </c>
      <c r="L8" s="40">
        <f t="shared" si="7"/>
        <v>5503185</v>
      </c>
      <c r="M8" s="40">
        <f t="shared" ref="M8:N8" si="8">M11+M14</f>
        <v>6303357</v>
      </c>
      <c r="N8" s="40">
        <f t="shared" si="8"/>
        <v>7587997</v>
      </c>
      <c r="O8" s="7">
        <f t="shared" ref="O8" si="9">O11+O14</f>
        <v>67867446</v>
      </c>
    </row>
    <row r="9" spans="1:18" x14ac:dyDescent="0.25">
      <c r="A9" s="5" t="s">
        <v>19</v>
      </c>
      <c r="B9" s="10" t="s">
        <v>20</v>
      </c>
      <c r="C9" s="11">
        <f t="shared" ref="C9:F9" si="10">SUM(C10:C11)</f>
        <v>2814048</v>
      </c>
      <c r="D9" s="11">
        <f t="shared" si="10"/>
        <v>2205024</v>
      </c>
      <c r="E9" s="7">
        <f>SUM(E10:E11)</f>
        <v>2171664</v>
      </c>
      <c r="F9" s="11">
        <f t="shared" si="10"/>
        <v>1882980</v>
      </c>
      <c r="G9" s="11">
        <f>SUM(G10:G11)</f>
        <v>1765320</v>
      </c>
      <c r="H9" s="11">
        <f t="shared" ref="H9:O9" si="11">SUM(H10:H11)</f>
        <v>1625208</v>
      </c>
      <c r="I9" s="11">
        <f t="shared" si="11"/>
        <v>1644384</v>
      </c>
      <c r="J9" s="11">
        <f t="shared" si="11"/>
        <v>1589760</v>
      </c>
      <c r="K9" s="40">
        <f t="shared" ref="K9:L9" si="12">SUM(K10:K11)</f>
        <v>1593180</v>
      </c>
      <c r="L9" s="40">
        <f t="shared" si="12"/>
        <v>1957800</v>
      </c>
      <c r="M9" s="40">
        <f t="shared" ref="M9:N9" si="13">SUM(M10:M11)</f>
        <v>2286564</v>
      </c>
      <c r="N9" s="40">
        <f t="shared" si="13"/>
        <v>2521104</v>
      </c>
      <c r="O9" s="11">
        <f t="shared" si="11"/>
        <v>24057036</v>
      </c>
    </row>
    <row r="10" spans="1:18" x14ac:dyDescent="0.25">
      <c r="A10" s="5"/>
      <c r="B10" s="10" t="s">
        <v>17</v>
      </c>
      <c r="C10" s="11"/>
      <c r="D10" s="11"/>
      <c r="E10" s="7"/>
      <c r="F10" s="11"/>
      <c r="G10" s="11"/>
      <c r="H10" s="11"/>
      <c r="I10" s="11"/>
      <c r="J10" s="11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2814048</v>
      </c>
      <c r="D11" s="11">
        <v>2205024</v>
      </c>
      <c r="E11" s="7">
        <v>2171664</v>
      </c>
      <c r="F11" s="7">
        <v>1882980</v>
      </c>
      <c r="G11" s="7">
        <v>1765320</v>
      </c>
      <c r="H11" s="11">
        <v>1625208</v>
      </c>
      <c r="I11" s="23">
        <v>1644384</v>
      </c>
      <c r="J11" s="23">
        <v>1589760</v>
      </c>
      <c r="K11" s="23">
        <v>1593180</v>
      </c>
      <c r="L11" s="23">
        <v>1957800</v>
      </c>
      <c r="M11" s="23">
        <v>2286564</v>
      </c>
      <c r="N11" s="23">
        <v>2521104</v>
      </c>
      <c r="O11" s="11">
        <f>SUM(C11:N11)</f>
        <v>24057036</v>
      </c>
    </row>
    <row r="12" spans="1:18" ht="18.75" x14ac:dyDescent="0.25">
      <c r="A12" s="24" t="s">
        <v>48</v>
      </c>
      <c r="B12" s="25" t="s">
        <v>49</v>
      </c>
      <c r="C12" s="11">
        <f t="shared" ref="C12:H12" si="14">C14</f>
        <v>5244525</v>
      </c>
      <c r="D12" s="11">
        <f t="shared" si="14"/>
        <v>4685818</v>
      </c>
      <c r="E12" s="7">
        <f t="shared" si="14"/>
        <v>4617870</v>
      </c>
      <c r="F12" s="7">
        <f t="shared" si="14"/>
        <v>3655370</v>
      </c>
      <c r="G12" s="7">
        <f t="shared" si="14"/>
        <v>3330050</v>
      </c>
      <c r="H12" s="7">
        <f t="shared" si="14"/>
        <v>2405707</v>
      </c>
      <c r="I12" s="11">
        <f t="shared" ref="I12:O12" si="15">SUM(I13:I14)</f>
        <v>2263995</v>
      </c>
      <c r="J12" s="11">
        <f t="shared" si="15"/>
        <v>2377624</v>
      </c>
      <c r="K12" s="40">
        <f t="shared" ref="K12:L12" si="16">SUM(K13:K14)</f>
        <v>2600380</v>
      </c>
      <c r="L12" s="40">
        <f t="shared" si="16"/>
        <v>3545385</v>
      </c>
      <c r="M12" s="40">
        <f t="shared" ref="M12:N12" si="17">SUM(M13:M14)</f>
        <v>4016793</v>
      </c>
      <c r="N12" s="40">
        <f t="shared" si="17"/>
        <v>5066893</v>
      </c>
      <c r="O12" s="11">
        <f t="shared" si="15"/>
        <v>43810410</v>
      </c>
      <c r="Q12" s="8"/>
    </row>
    <row r="13" spans="1:18" x14ac:dyDescent="0.25">
      <c r="A13" s="5"/>
      <c r="B13" s="10" t="s">
        <v>17</v>
      </c>
      <c r="C13" s="11"/>
      <c r="D13" s="11"/>
      <c r="E13" s="7"/>
      <c r="F13" s="11"/>
      <c r="G13" s="11"/>
      <c r="H13" s="11"/>
      <c r="I13" s="11"/>
      <c r="J13" s="11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5244525</v>
      </c>
      <c r="D14" s="11">
        <v>4685818</v>
      </c>
      <c r="E14" s="7">
        <v>4617870</v>
      </c>
      <c r="F14" s="11">
        <v>3655370</v>
      </c>
      <c r="G14" s="11">
        <v>3330050</v>
      </c>
      <c r="H14" s="11">
        <v>2405707</v>
      </c>
      <c r="I14" s="23">
        <v>2263995</v>
      </c>
      <c r="J14" s="23">
        <v>2377624</v>
      </c>
      <c r="K14" s="23">
        <v>2600380</v>
      </c>
      <c r="L14" s="23">
        <v>3545385</v>
      </c>
      <c r="M14" s="23">
        <v>4016793</v>
      </c>
      <c r="N14" s="23">
        <v>5066893</v>
      </c>
      <c r="O14" s="11">
        <f>SUM(C14:N14)</f>
        <v>43810410</v>
      </c>
    </row>
    <row r="15" spans="1:18" x14ac:dyDescent="0.25">
      <c r="A15" s="5"/>
      <c r="B15" s="10"/>
      <c r="C15" s="11"/>
      <c r="D15" s="11"/>
      <c r="E15" s="7"/>
      <c r="F15" s="11"/>
      <c r="G15" s="11"/>
      <c r="H15" s="11"/>
      <c r="I15" s="11"/>
      <c r="J15" s="11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>C17+C34</f>
        <v>7859164</v>
      </c>
      <c r="D16" s="11">
        <f>D17+D34</f>
        <v>7013460.3137809997</v>
      </c>
      <c r="E16" s="7">
        <f>E17+E34</f>
        <v>6567263</v>
      </c>
      <c r="F16" s="7">
        <f t="shared" ref="F16:O16" si="18">F17+F34</f>
        <v>5523348</v>
      </c>
      <c r="G16" s="7">
        <f t="shared" ref="G16:J16" si="19">G17+G34</f>
        <v>5095370</v>
      </c>
      <c r="H16" s="7">
        <f t="shared" si="19"/>
        <v>3921966</v>
      </c>
      <c r="I16" s="7">
        <f t="shared" si="19"/>
        <v>3742793</v>
      </c>
      <c r="J16" s="7">
        <f t="shared" si="19"/>
        <v>3680646</v>
      </c>
      <c r="K16" s="40">
        <f t="shared" ref="K16:L16" si="20">K17+K34</f>
        <v>3969196</v>
      </c>
      <c r="L16" s="40">
        <f t="shared" si="20"/>
        <v>5075546.5999999996</v>
      </c>
      <c r="M16" s="40">
        <f t="shared" ref="M16:N16" si="21">M17+M34</f>
        <v>6025425</v>
      </c>
      <c r="N16" s="40">
        <f t="shared" si="21"/>
        <v>7001210</v>
      </c>
      <c r="O16" s="7">
        <f t="shared" si="18"/>
        <v>65448427.913781002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7">
        <f>C18+C22</f>
        <v>5519164</v>
      </c>
      <c r="D17" s="7">
        <f>D18+D22</f>
        <v>5196572.3137809997</v>
      </c>
      <c r="E17" s="7">
        <f>E18+E22</f>
        <v>4833085</v>
      </c>
      <c r="F17" s="7">
        <f>F18+F22</f>
        <v>4209679</v>
      </c>
      <c r="G17" s="7">
        <f>G18+G22+G25</f>
        <v>3786158</v>
      </c>
      <c r="H17" s="7">
        <f>H18+H22+H25</f>
        <v>3431887</v>
      </c>
      <c r="I17" s="7">
        <f>I18+I22+I25</f>
        <v>3499444</v>
      </c>
      <c r="J17" s="7">
        <f t="shared" ref="J17" si="22">J18+J22+J25</f>
        <v>3354007</v>
      </c>
      <c r="K17" s="40">
        <f t="shared" ref="K17:L17" si="23">K18+K22+K25</f>
        <v>3574197</v>
      </c>
      <c r="L17" s="40">
        <f t="shared" si="23"/>
        <v>3789119</v>
      </c>
      <c r="M17" s="40">
        <f t="shared" ref="M17:N17" si="24">M18+M22+M25</f>
        <v>4246819</v>
      </c>
      <c r="N17" s="40">
        <f t="shared" si="24"/>
        <v>4762156</v>
      </c>
      <c r="O17" s="7">
        <f t="shared" ref="O17" si="25">O18+O22</f>
        <v>50175327.313781001</v>
      </c>
      <c r="P17" s="21"/>
    </row>
    <row r="18" spans="1:18" s="2" customFormat="1" ht="31.5" x14ac:dyDescent="0.25">
      <c r="A18" s="12" t="s">
        <v>25</v>
      </c>
      <c r="B18" s="10" t="s">
        <v>26</v>
      </c>
      <c r="C18" s="7">
        <f>SUM(C19:C21)</f>
        <v>3944564</v>
      </c>
      <c r="D18" s="7">
        <f>SUM(D19:D21)</f>
        <v>3727213</v>
      </c>
      <c r="E18" s="7">
        <f t="shared" ref="E18:O18" si="26">SUM(E19:E21)</f>
        <v>3545227</v>
      </c>
      <c r="F18" s="7">
        <f>SUM(F19:F21)</f>
        <v>2989139</v>
      </c>
      <c r="G18" s="7">
        <f>SUM(G19:G21)</f>
        <v>2586911</v>
      </c>
      <c r="H18" s="7">
        <f>SUM(H19:H21)</f>
        <v>2354716</v>
      </c>
      <c r="I18" s="7">
        <f t="shared" si="26"/>
        <v>2370064</v>
      </c>
      <c r="J18" s="7">
        <f t="shared" si="26"/>
        <v>2242405</v>
      </c>
      <c r="K18" s="40">
        <f t="shared" ref="K18:L18" si="27">SUM(K19:K21)</f>
        <v>2363614</v>
      </c>
      <c r="L18" s="40">
        <f t="shared" si="27"/>
        <v>2530942</v>
      </c>
      <c r="M18" s="40">
        <f t="shared" ref="M18:N18" si="28">SUM(M19:M21)</f>
        <v>2788967</v>
      </c>
      <c r="N18" s="40">
        <f t="shared" si="28"/>
        <v>3291660</v>
      </c>
      <c r="O18" s="7">
        <f t="shared" si="26"/>
        <v>34735422</v>
      </c>
      <c r="Q18" s="8"/>
      <c r="R18" s="8"/>
    </row>
    <row r="19" spans="1:18" x14ac:dyDescent="0.25">
      <c r="A19" s="12"/>
      <c r="B19" s="10" t="s">
        <v>17</v>
      </c>
      <c r="C19" s="7">
        <f>1668326+262616</f>
        <v>1930942</v>
      </c>
      <c r="D19" s="11">
        <f>1662076+238149</f>
        <v>1900225</v>
      </c>
      <c r="E19" s="11">
        <f>1526610+267252</f>
        <v>1793862</v>
      </c>
      <c r="F19" s="11">
        <f>1355445+246027</f>
        <v>1601472</v>
      </c>
      <c r="G19" s="11">
        <f>1110070+250973</f>
        <v>1361043</v>
      </c>
      <c r="H19" s="38">
        <f>1014298+249998</f>
        <v>1264296</v>
      </c>
      <c r="I19" s="11">
        <f>1695050+253155</f>
        <v>1948205</v>
      </c>
      <c r="J19" s="11">
        <f>1420354+254042</f>
        <v>1674396</v>
      </c>
      <c r="K19" s="40">
        <f>1650180+237266</f>
        <v>1887446</v>
      </c>
      <c r="L19" s="40">
        <f>1864495+254268</f>
        <v>2118763</v>
      </c>
      <c r="M19" s="40">
        <f>2075270+237477</f>
        <v>2312747</v>
      </c>
      <c r="N19" s="40">
        <f>2379581+267187+4081</f>
        <v>2650849</v>
      </c>
      <c r="O19" s="11">
        <f>SUM(C19:N19)</f>
        <v>22444246</v>
      </c>
      <c r="Q19" s="8"/>
      <c r="R19" s="8"/>
    </row>
    <row r="20" spans="1:18" x14ac:dyDescent="0.25">
      <c r="A20" s="12"/>
      <c r="B20" s="10" t="s">
        <v>18</v>
      </c>
      <c r="C20" s="7">
        <v>182170</v>
      </c>
      <c r="D20" s="11">
        <v>205712</v>
      </c>
      <c r="E20" s="11">
        <v>162822</v>
      </c>
      <c r="F20" s="11">
        <v>147330</v>
      </c>
      <c r="G20" s="11">
        <v>140297</v>
      </c>
      <c r="H20" s="11">
        <v>162354</v>
      </c>
      <c r="I20" s="11">
        <v>169417</v>
      </c>
      <c r="J20" s="11">
        <v>170121</v>
      </c>
      <c r="K20" s="40">
        <v>159541</v>
      </c>
      <c r="L20" s="40">
        <v>194698</v>
      </c>
      <c r="M20" s="40">
        <v>215205</v>
      </c>
      <c r="N20" s="40">
        <v>214078</v>
      </c>
      <c r="O20" s="11">
        <f>SUM(C20:N20)</f>
        <v>2123745</v>
      </c>
    </row>
    <row r="21" spans="1:18" x14ac:dyDescent="0.25">
      <c r="A21" s="12"/>
      <c r="B21" s="10" t="s">
        <v>46</v>
      </c>
      <c r="C21" s="11">
        <v>1831452</v>
      </c>
      <c r="D21" s="11">
        <v>1621276</v>
      </c>
      <c r="E21" s="11">
        <v>1588543</v>
      </c>
      <c r="F21" s="11">
        <v>1240337</v>
      </c>
      <c r="G21" s="11">
        <f>1079418+6153</f>
        <v>1085571</v>
      </c>
      <c r="H21" s="11">
        <v>928066</v>
      </c>
      <c r="I21" s="23">
        <v>252442</v>
      </c>
      <c r="J21" s="23">
        <v>397888</v>
      </c>
      <c r="K21" s="23">
        <v>316627</v>
      </c>
      <c r="L21" s="23">
        <v>217481</v>
      </c>
      <c r="M21" s="23">
        <v>261015</v>
      </c>
      <c r="N21" s="38">
        <v>426733</v>
      </c>
      <c r="O21" s="11">
        <f>SUM(C21:N21)</f>
        <v>10167431</v>
      </c>
    </row>
    <row r="22" spans="1:18" ht="31.5" x14ac:dyDescent="0.25">
      <c r="A22" s="12" t="s">
        <v>27</v>
      </c>
      <c r="B22" s="10" t="s">
        <v>28</v>
      </c>
      <c r="C22" s="7">
        <f>C23+C24</f>
        <v>1574600</v>
      </c>
      <c r="D22" s="7">
        <f>D23+D24</f>
        <v>1469359.313781</v>
      </c>
      <c r="E22" s="7">
        <f>E23+E24</f>
        <v>1287858</v>
      </c>
      <c r="F22" s="7">
        <f>F23+F24</f>
        <v>1220540</v>
      </c>
      <c r="G22" s="7">
        <f>G23+G24</f>
        <v>1203572</v>
      </c>
      <c r="H22" s="7">
        <f t="shared" ref="H22:J22" si="29">H23+H24</f>
        <v>1077170</v>
      </c>
      <c r="I22" s="7">
        <f>I23+I24</f>
        <v>1127488</v>
      </c>
      <c r="J22" s="7">
        <f t="shared" si="29"/>
        <v>1104940</v>
      </c>
      <c r="K22" s="40">
        <f t="shared" ref="K22:L22" si="30">K23+K24</f>
        <v>1206416</v>
      </c>
      <c r="L22" s="40">
        <f t="shared" si="30"/>
        <v>1253506</v>
      </c>
      <c r="M22" s="40">
        <f t="shared" ref="M22:N22" si="31">M23+M24</f>
        <v>1451408</v>
      </c>
      <c r="N22" s="40">
        <f t="shared" si="31"/>
        <v>1463048</v>
      </c>
      <c r="O22" s="7">
        <f>O23+O24</f>
        <v>15439905.313781001</v>
      </c>
      <c r="Q22" s="8"/>
      <c r="R22" s="8"/>
    </row>
    <row r="23" spans="1:18" x14ac:dyDescent="0.25">
      <c r="A23" s="12"/>
      <c r="B23" s="10" t="s">
        <v>17</v>
      </c>
      <c r="C23" s="7">
        <f>C29+C32</f>
        <v>785817</v>
      </c>
      <c r="D23" s="7">
        <f t="shared" ref="D23:H23" si="32">D29+D32</f>
        <v>749368</v>
      </c>
      <c r="E23" s="7">
        <f t="shared" si="32"/>
        <v>659881</v>
      </c>
      <c r="F23" s="7">
        <f t="shared" si="32"/>
        <v>626043</v>
      </c>
      <c r="G23" s="7">
        <f t="shared" si="32"/>
        <v>673861</v>
      </c>
      <c r="H23" s="7">
        <f t="shared" si="32"/>
        <v>583396</v>
      </c>
      <c r="I23" s="7">
        <f t="shared" ref="I23:J23" si="33">I29+I32</f>
        <v>596781</v>
      </c>
      <c r="J23" s="7">
        <f t="shared" si="33"/>
        <v>614365</v>
      </c>
      <c r="K23" s="40">
        <f t="shared" ref="K23:M24" si="34">K29+K32</f>
        <v>650776</v>
      </c>
      <c r="L23" s="40">
        <f t="shared" si="34"/>
        <v>687919</v>
      </c>
      <c r="M23" s="40">
        <f t="shared" si="34"/>
        <v>821417</v>
      </c>
      <c r="N23" s="40">
        <f t="shared" ref="N23" si="35">N29+N32</f>
        <v>820150</v>
      </c>
      <c r="O23" s="7">
        <f>SUM(C23:N23)</f>
        <v>8269774</v>
      </c>
      <c r="Q23" s="8"/>
      <c r="R23" s="8"/>
    </row>
    <row r="24" spans="1:18" x14ac:dyDescent="0.25">
      <c r="A24" s="12"/>
      <c r="B24" s="10" t="s">
        <v>18</v>
      </c>
      <c r="C24" s="7">
        <f>C30+C33</f>
        <v>788783</v>
      </c>
      <c r="D24" s="7">
        <f>D30+D33</f>
        <v>719991.31378099998</v>
      </c>
      <c r="E24" s="7">
        <f>E30+E33+E27</f>
        <v>627977</v>
      </c>
      <c r="F24" s="7">
        <f>F30+F33+F27</f>
        <v>594497</v>
      </c>
      <c r="G24" s="7">
        <f>G30+G33</f>
        <v>529711</v>
      </c>
      <c r="H24" s="7">
        <f>H30+H33</f>
        <v>493774</v>
      </c>
      <c r="I24" s="7">
        <f>I30+I33</f>
        <v>530707</v>
      </c>
      <c r="J24" s="7">
        <f>J30+J33</f>
        <v>490575</v>
      </c>
      <c r="K24" s="40">
        <f t="shared" si="34"/>
        <v>555640</v>
      </c>
      <c r="L24" s="40">
        <f t="shared" si="34"/>
        <v>565587</v>
      </c>
      <c r="M24" s="40">
        <f t="shared" si="34"/>
        <v>629991</v>
      </c>
      <c r="N24" s="40">
        <f t="shared" ref="N24" si="36">N30+N33</f>
        <v>642898</v>
      </c>
      <c r="O24" s="7">
        <f>SUM(C24:N24)</f>
        <v>7170131.3137809997</v>
      </c>
      <c r="Q24" s="8"/>
      <c r="R24" s="8"/>
    </row>
    <row r="25" spans="1:18" x14ac:dyDescent="0.25">
      <c r="A25" s="12" t="s">
        <v>40</v>
      </c>
      <c r="B25" s="10" t="s">
        <v>29</v>
      </c>
      <c r="C25" s="7">
        <f>SUM(C26:C27)</f>
        <v>0</v>
      </c>
      <c r="D25" s="7">
        <f t="shared" ref="D25:J25" si="37">SUM(D26:D27)</f>
        <v>0</v>
      </c>
      <c r="E25" s="7">
        <f t="shared" si="37"/>
        <v>4028</v>
      </c>
      <c r="F25" s="7">
        <f t="shared" si="37"/>
        <v>586</v>
      </c>
      <c r="G25" s="7">
        <f t="shared" si="37"/>
        <v>-4325</v>
      </c>
      <c r="H25" s="7">
        <f t="shared" si="37"/>
        <v>1</v>
      </c>
      <c r="I25" s="7">
        <f t="shared" si="37"/>
        <v>1892</v>
      </c>
      <c r="J25" s="7">
        <f t="shared" si="37"/>
        <v>6662</v>
      </c>
      <c r="K25" s="40">
        <f>SUM(K26:K27)</f>
        <v>4167</v>
      </c>
      <c r="L25" s="40">
        <f>SUM(L26:L27)</f>
        <v>4671</v>
      </c>
      <c r="M25" s="40">
        <f>SUM(M26:M27)</f>
        <v>6444</v>
      </c>
      <c r="N25" s="40">
        <f>SUM(N26:N27)</f>
        <v>7448</v>
      </c>
      <c r="O25" s="7">
        <f>SUM(O26:O27)</f>
        <v>31574</v>
      </c>
    </row>
    <row r="26" spans="1:18" x14ac:dyDescent="0.25">
      <c r="A26" s="3"/>
      <c r="B26" s="10" t="s">
        <v>17</v>
      </c>
      <c r="C26" s="11"/>
      <c r="D26" s="11"/>
      <c r="E26" s="11"/>
      <c r="F26" s="11"/>
      <c r="G26" s="11"/>
      <c r="H26" s="11"/>
      <c r="I26" s="11"/>
      <c r="J26" s="11">
        <v>6387</v>
      </c>
      <c r="K26" s="40">
        <v>4063</v>
      </c>
      <c r="L26" s="40">
        <v>4271</v>
      </c>
      <c r="M26" s="40">
        <v>5535</v>
      </c>
      <c r="N26" s="40">
        <v>6238</v>
      </c>
      <c r="O26" s="7">
        <f>SUM(C26:N26)</f>
        <v>26494</v>
      </c>
    </row>
    <row r="27" spans="1:18" x14ac:dyDescent="0.25">
      <c r="A27" s="3"/>
      <c r="B27" s="10" t="s">
        <v>18</v>
      </c>
      <c r="C27" s="11"/>
      <c r="D27" s="11"/>
      <c r="E27" s="7">
        <v>4028</v>
      </c>
      <c r="F27" s="7">
        <v>586</v>
      </c>
      <c r="G27" s="11">
        <v>-4325</v>
      </c>
      <c r="H27" s="11">
        <v>1</v>
      </c>
      <c r="I27" s="23">
        <v>1892</v>
      </c>
      <c r="J27" s="11">
        <v>275</v>
      </c>
      <c r="K27" s="40">
        <v>104</v>
      </c>
      <c r="L27" s="40">
        <v>400</v>
      </c>
      <c r="M27" s="40">
        <v>909</v>
      </c>
      <c r="N27" s="40">
        <v>1210</v>
      </c>
      <c r="O27" s="7">
        <f>SUM(C27:N27)</f>
        <v>5080</v>
      </c>
    </row>
    <row r="28" spans="1:18" ht="63" x14ac:dyDescent="0.25">
      <c r="A28" s="3" t="s">
        <v>41</v>
      </c>
      <c r="B28" s="13" t="s">
        <v>30</v>
      </c>
      <c r="C28" s="11">
        <f t="shared" ref="C28:O28" si="38">SUM(C29:C30)</f>
        <v>516635</v>
      </c>
      <c r="D28" s="11">
        <f t="shared" si="38"/>
        <v>528015</v>
      </c>
      <c r="E28" s="11">
        <f t="shared" si="38"/>
        <v>611013</v>
      </c>
      <c r="F28" s="11">
        <f t="shared" si="38"/>
        <v>618714</v>
      </c>
      <c r="G28" s="7">
        <f t="shared" si="38"/>
        <v>633047</v>
      </c>
      <c r="H28" s="11">
        <f t="shared" si="38"/>
        <v>634433</v>
      </c>
      <c r="I28" s="11">
        <f t="shared" si="38"/>
        <v>648293</v>
      </c>
      <c r="J28" s="11">
        <f t="shared" si="38"/>
        <v>650100</v>
      </c>
      <c r="K28" s="40">
        <f t="shared" ref="K28:L28" si="39">SUM(K29:K30)</f>
        <v>663566</v>
      </c>
      <c r="L28" s="40">
        <f t="shared" si="39"/>
        <v>669330</v>
      </c>
      <c r="M28" s="40">
        <f t="shared" ref="M28:N28" si="40">SUM(M29:M30)</f>
        <v>677013</v>
      </c>
      <c r="N28" s="40">
        <f t="shared" si="40"/>
        <v>682984</v>
      </c>
      <c r="O28" s="11">
        <f t="shared" si="38"/>
        <v>7533143</v>
      </c>
      <c r="Q28" s="8"/>
      <c r="R28" s="8"/>
    </row>
    <row r="29" spans="1:18" x14ac:dyDescent="0.25">
      <c r="A29" s="3"/>
      <c r="B29" s="10" t="s">
        <v>17</v>
      </c>
      <c r="C29" s="11">
        <v>224675</v>
      </c>
      <c r="D29" s="11">
        <v>231590</v>
      </c>
      <c r="E29" s="11">
        <v>238740</v>
      </c>
      <c r="F29" s="11">
        <v>242735</v>
      </c>
      <c r="G29" s="7">
        <v>253345</v>
      </c>
      <c r="H29" s="11">
        <v>255480</v>
      </c>
      <c r="I29" s="11">
        <v>263930</v>
      </c>
      <c r="J29" s="11">
        <v>268260</v>
      </c>
      <c r="K29" s="40">
        <v>273745</v>
      </c>
      <c r="L29" s="40">
        <v>278485</v>
      </c>
      <c r="M29" s="40">
        <v>286325</v>
      </c>
      <c r="N29" s="40">
        <v>290390</v>
      </c>
      <c r="O29" s="11">
        <f>SUM(C29:N29)</f>
        <v>3107700</v>
      </c>
      <c r="Q29" s="8"/>
      <c r="R29" s="8"/>
    </row>
    <row r="30" spans="1:18" x14ac:dyDescent="0.25">
      <c r="A30" s="3"/>
      <c r="B30" s="10" t="s">
        <v>18</v>
      </c>
      <c r="C30" s="11">
        <v>291960</v>
      </c>
      <c r="D30" s="11">
        <v>296425</v>
      </c>
      <c r="E30" s="11">
        <v>372273</v>
      </c>
      <c r="F30" s="11">
        <v>375979</v>
      </c>
      <c r="G30" s="11">
        <v>379702</v>
      </c>
      <c r="H30" s="11">
        <v>378953</v>
      </c>
      <c r="I30" s="11">
        <v>384363</v>
      </c>
      <c r="J30" s="11">
        <v>381840</v>
      </c>
      <c r="K30" s="40">
        <v>389821</v>
      </c>
      <c r="L30" s="40">
        <v>390845</v>
      </c>
      <c r="M30" s="40">
        <v>390688</v>
      </c>
      <c r="N30" s="40">
        <v>392594</v>
      </c>
      <c r="O30" s="11">
        <f>SUM(C30:N30)</f>
        <v>4425443</v>
      </c>
      <c r="Q30" s="8"/>
      <c r="R30" s="8"/>
    </row>
    <row r="31" spans="1:18" ht="63" x14ac:dyDescent="0.25">
      <c r="A31" s="3" t="s">
        <v>42</v>
      </c>
      <c r="B31" s="13" t="s">
        <v>31</v>
      </c>
      <c r="C31" s="11">
        <f t="shared" ref="C31:J31" si="41">SUM(C32:C33)</f>
        <v>1057965</v>
      </c>
      <c r="D31" s="11">
        <f t="shared" si="41"/>
        <v>941344.31378099998</v>
      </c>
      <c r="E31" s="11">
        <f t="shared" si="41"/>
        <v>672817</v>
      </c>
      <c r="F31" s="11">
        <f t="shared" si="41"/>
        <v>601240</v>
      </c>
      <c r="G31" s="11">
        <f t="shared" si="41"/>
        <v>570525</v>
      </c>
      <c r="H31" s="11">
        <f t="shared" si="41"/>
        <v>442737</v>
      </c>
      <c r="I31" s="11">
        <f t="shared" si="41"/>
        <v>479195</v>
      </c>
      <c r="J31" s="11">
        <f t="shared" si="41"/>
        <v>454840</v>
      </c>
      <c r="K31" s="40">
        <f t="shared" ref="K31:L31" si="42">SUM(K32:K33)</f>
        <v>542850</v>
      </c>
      <c r="L31" s="40">
        <f t="shared" si="42"/>
        <v>584176</v>
      </c>
      <c r="M31" s="40">
        <f t="shared" ref="M31:N31" si="43">SUM(M32:M33)</f>
        <v>774395</v>
      </c>
      <c r="N31" s="40">
        <f t="shared" si="43"/>
        <v>780064</v>
      </c>
      <c r="O31" s="11">
        <f>SUM(O32:O33)</f>
        <v>7902148.3137809997</v>
      </c>
      <c r="Q31" s="8"/>
      <c r="R31" s="8"/>
    </row>
    <row r="32" spans="1:18" x14ac:dyDescent="0.25">
      <c r="A32" s="3"/>
      <c r="B32" s="10" t="s">
        <v>17</v>
      </c>
      <c r="C32" s="11">
        <v>561142</v>
      </c>
      <c r="D32" s="11">
        <v>517778</v>
      </c>
      <c r="E32" s="11">
        <v>421141</v>
      </c>
      <c r="F32" s="11">
        <v>383308</v>
      </c>
      <c r="G32" s="11">
        <v>420516</v>
      </c>
      <c r="H32" s="11">
        <v>327916</v>
      </c>
      <c r="I32" s="11">
        <v>332851</v>
      </c>
      <c r="J32" s="11">
        <v>346105</v>
      </c>
      <c r="K32" s="40">
        <v>377031</v>
      </c>
      <c r="L32" s="40">
        <v>409434</v>
      </c>
      <c r="M32" s="40">
        <v>535092</v>
      </c>
      <c r="N32" s="40">
        <v>529760</v>
      </c>
      <c r="O32" s="11">
        <f>SUM(C32:N32)</f>
        <v>5162074</v>
      </c>
      <c r="Q32" s="8"/>
      <c r="R32" s="8"/>
    </row>
    <row r="33" spans="1:19" x14ac:dyDescent="0.25">
      <c r="A33" s="3"/>
      <c r="B33" s="10" t="s">
        <v>18</v>
      </c>
      <c r="C33" s="11">
        <v>496823</v>
      </c>
      <c r="D33" s="11">
        <f>423026.313781+540</f>
        <v>423566.31378099998</v>
      </c>
      <c r="E33" s="11">
        <v>251676</v>
      </c>
      <c r="F33" s="11">
        <v>217932</v>
      </c>
      <c r="G33" s="11">
        <v>150009</v>
      </c>
      <c r="H33" s="11">
        <v>114821</v>
      </c>
      <c r="I33" s="11">
        <v>146344</v>
      </c>
      <c r="J33" s="11">
        <v>108735</v>
      </c>
      <c r="K33" s="40">
        <v>165819</v>
      </c>
      <c r="L33" s="40">
        <v>174742</v>
      </c>
      <c r="M33" s="40">
        <f>237179+2124</f>
        <v>239303</v>
      </c>
      <c r="N33" s="40">
        <v>250304</v>
      </c>
      <c r="O33" s="11">
        <f>SUM(C33:N33)</f>
        <v>2740074.3137809997</v>
      </c>
      <c r="Q33" s="8"/>
      <c r="R33" s="8"/>
    </row>
    <row r="34" spans="1:19" x14ac:dyDescent="0.25">
      <c r="A34" s="5" t="s">
        <v>32</v>
      </c>
      <c r="B34" s="10" t="s">
        <v>33</v>
      </c>
      <c r="C34" s="11">
        <f>2602616-262616</f>
        <v>2340000</v>
      </c>
      <c r="D34" s="11">
        <f>2055037-238149</f>
        <v>1816888</v>
      </c>
      <c r="E34" s="11">
        <f>2001430-267252</f>
        <v>1734178</v>
      </c>
      <c r="F34" s="11">
        <f>1559696-246027</f>
        <v>1313669</v>
      </c>
      <c r="G34" s="11">
        <f>1560185-250973</f>
        <v>1309212</v>
      </c>
      <c r="H34" s="11">
        <f>740077-249998</f>
        <v>490079</v>
      </c>
      <c r="I34" s="11">
        <f>496504-253155</f>
        <v>243349</v>
      </c>
      <c r="J34" s="7">
        <f>580681-254042</f>
        <v>326639</v>
      </c>
      <c r="K34" s="40">
        <v>394999</v>
      </c>
      <c r="L34" s="40">
        <v>1286427.5999999996</v>
      </c>
      <c r="M34" s="40">
        <f>1420312+358294</f>
        <v>1778606</v>
      </c>
      <c r="N34" s="40">
        <f>1872957+366097</f>
        <v>2239054</v>
      </c>
      <c r="O34" s="11">
        <f>SUM(C34:N34)</f>
        <v>15273100.6</v>
      </c>
    </row>
    <row r="35" spans="1:19" ht="31.5" x14ac:dyDescent="0.25">
      <c r="A35" s="5"/>
      <c r="B35" s="6" t="s">
        <v>34</v>
      </c>
      <c r="C35" s="7">
        <f>C5-C16</f>
        <v>199409</v>
      </c>
      <c r="D35" s="7">
        <f>D5-D16</f>
        <v>-122618.31378099974</v>
      </c>
      <c r="E35" s="7">
        <f>E5-E16</f>
        <v>222271</v>
      </c>
      <c r="F35" s="7">
        <f>F6-F16</f>
        <v>15002</v>
      </c>
      <c r="G35" s="7">
        <f>G6-G16</f>
        <v>0</v>
      </c>
      <c r="H35" s="7">
        <f>H6-H16</f>
        <v>108949</v>
      </c>
      <c r="I35" s="7">
        <f>I5-I16</f>
        <v>165586</v>
      </c>
      <c r="J35" s="7">
        <f>J6-J16</f>
        <v>286738</v>
      </c>
      <c r="K35" s="40">
        <f>K6-K16</f>
        <v>224364</v>
      </c>
      <c r="L35" s="40">
        <f>L6-L16</f>
        <v>427638.40000000037</v>
      </c>
      <c r="M35" s="40">
        <f>M6-M16</f>
        <v>277932</v>
      </c>
      <c r="N35" s="40">
        <f>N6-N16</f>
        <v>586787</v>
      </c>
      <c r="O35" s="7">
        <f t="shared" ref="O35" si="44">O6-O16</f>
        <v>2419018.0862189978</v>
      </c>
      <c r="Q35" s="8"/>
      <c r="R35" s="8"/>
      <c r="S35" s="8"/>
    </row>
    <row r="36" spans="1:19" x14ac:dyDescent="0.25">
      <c r="A36" s="14"/>
      <c r="B36" s="15" t="s">
        <v>35</v>
      </c>
      <c r="C36" s="16">
        <f>C35/C5</f>
        <v>2.4744951742696877E-2</v>
      </c>
      <c r="D36" s="16">
        <f t="shared" ref="D36:E36" si="45">D35/D5</f>
        <v>-1.7794387649724047E-2</v>
      </c>
      <c r="E36" s="16">
        <f t="shared" si="45"/>
        <v>3.2737298318264552E-2</v>
      </c>
      <c r="F36" s="37">
        <f t="shared" ref="F36:L36" si="46">F35/F5</f>
        <v>2.7087489956394957E-3</v>
      </c>
      <c r="G36" s="37">
        <f t="shared" si="46"/>
        <v>0</v>
      </c>
      <c r="H36" s="37">
        <f t="shared" si="46"/>
        <v>2.7028354604351618E-2</v>
      </c>
      <c r="I36" s="37">
        <f t="shared" si="46"/>
        <v>4.236692500906386E-2</v>
      </c>
      <c r="J36" s="37">
        <f t="shared" si="46"/>
        <v>7.2273820734267219E-2</v>
      </c>
      <c r="K36" s="41">
        <f t="shared" si="46"/>
        <v>5.3502036455899044E-2</v>
      </c>
      <c r="L36" s="41">
        <f t="shared" si="46"/>
        <v>7.7707436693478474E-2</v>
      </c>
      <c r="M36" s="41">
        <f t="shared" ref="M36:N36" si="47">M35/M5</f>
        <v>4.4092695368515539E-2</v>
      </c>
      <c r="N36" s="41">
        <f t="shared" si="47"/>
        <v>7.7330947811392117E-2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2:S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5" sqref="K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K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1732416</v>
      </c>
      <c r="L5" s="40"/>
      <c r="M5" s="40"/>
      <c r="N5" s="40"/>
      <c r="O5" s="7">
        <f>O6</f>
        <v>44340503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ref="D6:E6" si="2">SUM(D7:D8)</f>
        <v>6780610</v>
      </c>
      <c r="E6" s="40">
        <f t="shared" si="2"/>
        <v>5729140</v>
      </c>
      <c r="F6" s="40">
        <f t="shared" ref="F6:G6" si="3">SUM(F7:F8)</f>
        <v>5070833</v>
      </c>
      <c r="G6" s="40">
        <f t="shared" si="3"/>
        <v>4350045</v>
      </c>
      <c r="H6" s="40">
        <f t="shared" ref="H6:I6" si="4">SUM(H7:H8)</f>
        <v>4107943</v>
      </c>
      <c r="I6" s="40">
        <f t="shared" si="4"/>
        <v>4653656</v>
      </c>
      <c r="J6" s="40">
        <f t="shared" ref="J6:K6" si="5">SUM(J7:J8)</f>
        <v>4541315</v>
      </c>
      <c r="K6" s="40">
        <f t="shared" si="5"/>
        <v>1732416</v>
      </c>
      <c r="L6" s="40"/>
      <c r="M6" s="40"/>
      <c r="N6" s="40"/>
      <c r="O6" s="7">
        <f t="shared" si="1"/>
        <v>44340503</v>
      </c>
    </row>
    <row r="7" spans="1:18" x14ac:dyDescent="0.25">
      <c r="A7" s="5"/>
      <c r="B7" s="10" t="s">
        <v>17</v>
      </c>
      <c r="C7" s="7">
        <f t="shared" ref="C7:H7" si="6">C10</f>
        <v>0</v>
      </c>
      <c r="D7" s="7">
        <f t="shared" si="6"/>
        <v>0</v>
      </c>
      <c r="E7" s="40">
        <f t="shared" si="6"/>
        <v>0</v>
      </c>
      <c r="F7" s="40">
        <f t="shared" si="6"/>
        <v>0</v>
      </c>
      <c r="G7" s="40">
        <f t="shared" si="6"/>
        <v>0</v>
      </c>
      <c r="H7" s="40">
        <f t="shared" si="6"/>
        <v>0</v>
      </c>
      <c r="I7" s="40">
        <f t="shared" ref="I7:J7" si="7">I10</f>
        <v>0</v>
      </c>
      <c r="J7" s="40">
        <f t="shared" si="7"/>
        <v>0</v>
      </c>
      <c r="K7" s="40">
        <f t="shared" ref="K7" si="8">K10</f>
        <v>0</v>
      </c>
      <c r="L7" s="39"/>
      <c r="M7" s="39"/>
      <c r="N7" s="40"/>
      <c r="O7" s="7">
        <f t="shared" ref="O7" si="9">O10</f>
        <v>0</v>
      </c>
    </row>
    <row r="8" spans="1:18" x14ac:dyDescent="0.25">
      <c r="A8" s="5"/>
      <c r="B8" s="10" t="s">
        <v>46</v>
      </c>
      <c r="C8" s="7">
        <f t="shared" ref="C8:O8" si="10">C11+C14</f>
        <v>7374545</v>
      </c>
      <c r="D8" s="7">
        <f t="shared" ref="D8:E8" si="11">D11+D14</f>
        <v>6780610</v>
      </c>
      <c r="E8" s="40">
        <f t="shared" si="11"/>
        <v>5729140</v>
      </c>
      <c r="F8" s="40">
        <f t="shared" ref="F8:G8" si="12">F11+F14</f>
        <v>5070833</v>
      </c>
      <c r="G8" s="40">
        <f t="shared" si="12"/>
        <v>4350045</v>
      </c>
      <c r="H8" s="40">
        <f t="shared" ref="H8:I8" si="13">H11+H14</f>
        <v>4107943</v>
      </c>
      <c r="I8" s="40">
        <f t="shared" si="13"/>
        <v>4653656</v>
      </c>
      <c r="J8" s="40">
        <f t="shared" ref="J8:K8" si="14">J11+J14</f>
        <v>4541315</v>
      </c>
      <c r="K8" s="40">
        <f t="shared" si="14"/>
        <v>1732416</v>
      </c>
      <c r="L8" s="40"/>
      <c r="M8" s="40"/>
      <c r="N8" s="40"/>
      <c r="O8" s="7">
        <f t="shared" si="10"/>
        <v>44340503</v>
      </c>
    </row>
    <row r="9" spans="1:18" x14ac:dyDescent="0.25">
      <c r="A9" s="5" t="s">
        <v>19</v>
      </c>
      <c r="B9" s="10" t="s">
        <v>20</v>
      </c>
      <c r="C9" s="11">
        <f t="shared" ref="C9" si="15">SUM(C10:C11)</f>
        <v>2590704</v>
      </c>
      <c r="D9" s="11">
        <f t="shared" ref="D9:E9" si="16">SUM(D10:D11)</f>
        <v>2237688</v>
      </c>
      <c r="E9" s="40">
        <f t="shared" si="16"/>
        <v>1866972</v>
      </c>
      <c r="F9" s="40">
        <f t="shared" ref="F9:G9" si="17">SUM(F10:F11)</f>
        <v>1869684</v>
      </c>
      <c r="G9" s="40">
        <f t="shared" si="17"/>
        <v>1637028</v>
      </c>
      <c r="H9" s="40">
        <f t="shared" ref="H9:I9" si="18">SUM(H10:H11)</f>
        <v>1445064</v>
      </c>
      <c r="I9" s="40">
        <f t="shared" si="18"/>
        <v>1793400</v>
      </c>
      <c r="J9" s="40">
        <f t="shared" ref="J9:K9" si="19">SUM(J10:J11)</f>
        <v>1524600</v>
      </c>
      <c r="K9" s="40">
        <f t="shared" si="19"/>
        <v>1732416</v>
      </c>
      <c r="L9" s="40"/>
      <c r="M9" s="40"/>
      <c r="N9" s="40"/>
      <c r="O9" s="11">
        <f t="shared" ref="O9" si="20">SUM(O10:O11)</f>
        <v>16697556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23"/>
      <c r="M11" s="23"/>
      <c r="N11" s="23"/>
      <c r="O11" s="11">
        <f>SUM(C11:N11)</f>
        <v>16697556</v>
      </c>
    </row>
    <row r="12" spans="1:18" ht="18.75" x14ac:dyDescent="0.25">
      <c r="A12" s="24" t="s">
        <v>48</v>
      </c>
      <c r="B12" s="25" t="s">
        <v>49</v>
      </c>
      <c r="C12" s="11">
        <f t="shared" ref="C12" si="21">C14</f>
        <v>4783841</v>
      </c>
      <c r="D12" s="11">
        <f t="shared" ref="D12:E12" si="22">D14</f>
        <v>4542922</v>
      </c>
      <c r="E12" s="40">
        <f t="shared" si="22"/>
        <v>3862168</v>
      </c>
      <c r="F12" s="40">
        <f t="shared" ref="F12:G12" si="23">F14</f>
        <v>3201149</v>
      </c>
      <c r="G12" s="40">
        <f t="shared" si="23"/>
        <v>2713017</v>
      </c>
      <c r="H12" s="40">
        <f t="shared" ref="H12:I12" si="24">H14</f>
        <v>2662879</v>
      </c>
      <c r="I12" s="40">
        <f t="shared" si="24"/>
        <v>2860256</v>
      </c>
      <c r="J12" s="40">
        <f t="shared" ref="J12:K12" si="25">J14</f>
        <v>3016715</v>
      </c>
      <c r="K12" s="40">
        <f t="shared" si="25"/>
        <v>0</v>
      </c>
      <c r="L12" s="40"/>
      <c r="M12" s="40"/>
      <c r="N12" s="40"/>
      <c r="O12" s="11">
        <f t="shared" ref="O12" si="26">SUM(O13:O14)</f>
        <v>27642947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0</v>
      </c>
      <c r="L14" s="23"/>
      <c r="M14" s="23"/>
      <c r="N14" s="23"/>
      <c r="O14" s="11">
        <f>SUM(C14:N14)</f>
        <v>27642947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I16" si="27">C17+C34</f>
        <v>7097584</v>
      </c>
      <c r="D16" s="7">
        <f t="shared" si="27"/>
        <v>6753931</v>
      </c>
      <c r="E16" s="40">
        <f t="shared" si="27"/>
        <v>5387126</v>
      </c>
      <c r="F16" s="40">
        <f t="shared" si="27"/>
        <v>5018897</v>
      </c>
      <c r="G16" s="40">
        <f t="shared" si="27"/>
        <v>4284624</v>
      </c>
      <c r="H16" s="40">
        <f t="shared" si="27"/>
        <v>3891178</v>
      </c>
      <c r="I16" s="40">
        <f t="shared" si="27"/>
        <v>4311937</v>
      </c>
      <c r="J16" s="40">
        <f t="shared" ref="J16:K16" si="28">J17+J34</f>
        <v>3931732</v>
      </c>
      <c r="K16" s="40">
        <f t="shared" si="28"/>
        <v>1650432</v>
      </c>
      <c r="L16" s="40"/>
      <c r="M16" s="40"/>
      <c r="N16" s="40"/>
      <c r="O16" s="7">
        <f t="shared" ref="O16" si="29">O17+O34</f>
        <v>42290065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D17" si="30">C18+C22+C25</f>
        <v>4830657</v>
      </c>
      <c r="D17" s="40">
        <f t="shared" si="30"/>
        <v>4692017</v>
      </c>
      <c r="E17" s="40">
        <f t="shared" ref="E17:F17" si="31">E18+E22+E25</f>
        <v>3781245</v>
      </c>
      <c r="F17" s="40">
        <f t="shared" si="31"/>
        <v>3754469</v>
      </c>
      <c r="G17" s="40">
        <f t="shared" ref="G17:H17" si="32">G18+G22+G25</f>
        <v>3308062</v>
      </c>
      <c r="H17" s="40">
        <f t="shared" si="32"/>
        <v>2957576</v>
      </c>
      <c r="I17" s="40">
        <f t="shared" ref="I17:J17" si="33">I18+I22+I25</f>
        <v>3192360</v>
      </c>
      <c r="J17" s="40">
        <f t="shared" si="33"/>
        <v>2857434</v>
      </c>
      <c r="K17" s="40">
        <f t="shared" ref="K17" si="34">K18+K22+K25</f>
        <v>1650432</v>
      </c>
      <c r="L17" s="40"/>
      <c r="M17" s="40"/>
      <c r="N17" s="40"/>
      <c r="O17" s="7">
        <f t="shared" ref="O17" si="35">O18+O22</f>
        <v>30986876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36">SUM(C19:C21)</f>
        <v>3106745</v>
      </c>
      <c r="D18" s="40">
        <f t="shared" si="36"/>
        <v>2977043</v>
      </c>
      <c r="E18" s="40">
        <f t="shared" ref="E18:F18" si="37">SUM(E19:E21)</f>
        <v>2459988</v>
      </c>
      <c r="F18" s="40">
        <f t="shared" si="37"/>
        <v>2316034</v>
      </c>
      <c r="G18" s="40">
        <f t="shared" ref="G18:H18" si="38">SUM(G19:G21)</f>
        <v>1937535</v>
      </c>
      <c r="H18" s="40">
        <f t="shared" si="38"/>
        <v>1783036</v>
      </c>
      <c r="I18" s="40">
        <f t="shared" ref="I18:J18" si="39">SUM(I19:I21)</f>
        <v>1937538</v>
      </c>
      <c r="J18" s="40">
        <f t="shared" si="39"/>
        <v>1738875</v>
      </c>
      <c r="K18" s="40">
        <f t="shared" ref="K18" si="40">SUM(K19:K21)</f>
        <v>575280</v>
      </c>
      <c r="L18" s="40"/>
      <c r="M18" s="40"/>
      <c r="N18" s="40"/>
      <c r="O18" s="7">
        <f t="shared" ref="O18" si="41">SUM(O19:O21)</f>
        <v>18832074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v>358070</v>
      </c>
      <c r="L19" s="40"/>
      <c r="M19" s="40"/>
      <c r="N19" s="40"/>
      <c r="O19" s="11">
        <f>SUM(C19:N19)</f>
        <v>14242624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212185+5025</f>
        <v>217210</v>
      </c>
      <c r="L20" s="40"/>
      <c r="M20" s="40"/>
      <c r="N20" s="40"/>
      <c r="O20" s="11">
        <f>SUM(C20:N20)</f>
        <v>2129140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0</v>
      </c>
      <c r="L21" s="23"/>
      <c r="M21" s="23"/>
      <c r="N21" s="38"/>
      <c r="O21" s="11">
        <f>SUM(C21:N21)</f>
        <v>2460310</v>
      </c>
    </row>
    <row r="22" spans="1:18" ht="31.5" x14ac:dyDescent="0.25">
      <c r="A22" s="12" t="s">
        <v>27</v>
      </c>
      <c r="B22" s="10" t="s">
        <v>28</v>
      </c>
      <c r="C22" s="40">
        <f t="shared" ref="C22:D22" si="42">C23+C24</f>
        <v>1716512</v>
      </c>
      <c r="D22" s="40">
        <f t="shared" si="42"/>
        <v>1707865</v>
      </c>
      <c r="E22" s="40">
        <f t="shared" ref="E22:F22" si="43">E23+E24</f>
        <v>1313814</v>
      </c>
      <c r="F22" s="40">
        <f t="shared" si="43"/>
        <v>1435830</v>
      </c>
      <c r="G22" s="40">
        <f t="shared" ref="G22:H22" si="44">G23+G24</f>
        <v>1366418</v>
      </c>
      <c r="H22" s="40">
        <f t="shared" si="44"/>
        <v>1171993</v>
      </c>
      <c r="I22" s="40">
        <f t="shared" ref="I22:J22" si="45">I23+I24</f>
        <v>1251966</v>
      </c>
      <c r="J22" s="40">
        <f t="shared" si="45"/>
        <v>1115602</v>
      </c>
      <c r="K22" s="40">
        <f t="shared" ref="K22" si="46">K23+K24</f>
        <v>1074802</v>
      </c>
      <c r="L22" s="40"/>
      <c r="M22" s="40"/>
      <c r="N22" s="40"/>
      <c r="O22" s="7">
        <f>O23+O24</f>
        <v>12154802</v>
      </c>
      <c r="Q22" s="8"/>
      <c r="R22" s="8"/>
    </row>
    <row r="23" spans="1:18" x14ac:dyDescent="0.25">
      <c r="A23" s="12"/>
      <c r="B23" s="10" t="s">
        <v>17</v>
      </c>
      <c r="C23" s="40">
        <f t="shared" ref="C23:D24" si="47">C29+C32</f>
        <v>876867</v>
      </c>
      <c r="D23" s="40">
        <f t="shared" si="47"/>
        <v>873967</v>
      </c>
      <c r="E23" s="40">
        <f t="shared" ref="E23:F23" si="48">E29+E32</f>
        <v>676956</v>
      </c>
      <c r="F23" s="40">
        <f t="shared" si="48"/>
        <v>723420</v>
      </c>
      <c r="G23" s="40">
        <f t="shared" ref="G23:H23" si="49">G29+G32</f>
        <v>723590</v>
      </c>
      <c r="H23" s="40">
        <f t="shared" si="49"/>
        <v>593918</v>
      </c>
      <c r="I23" s="40">
        <f t="shared" ref="I23:J23" si="50">I29+I32</f>
        <v>645323</v>
      </c>
      <c r="J23" s="40">
        <f t="shared" si="50"/>
        <v>593349</v>
      </c>
      <c r="K23" s="40">
        <f t="shared" ref="K23" si="51">K29+K32</f>
        <v>525438</v>
      </c>
      <c r="L23" s="40"/>
      <c r="M23" s="40"/>
      <c r="N23" s="40"/>
      <c r="O23" s="7">
        <f>SUM(C23:N23)</f>
        <v>6232828</v>
      </c>
      <c r="Q23" s="8"/>
      <c r="R23" s="8"/>
    </row>
    <row r="24" spans="1:18" x14ac:dyDescent="0.25">
      <c r="A24" s="12"/>
      <c r="B24" s="10" t="s">
        <v>18</v>
      </c>
      <c r="C24" s="40">
        <f t="shared" si="47"/>
        <v>839645</v>
      </c>
      <c r="D24" s="40">
        <f t="shared" si="47"/>
        <v>833898</v>
      </c>
      <c r="E24" s="40">
        <f t="shared" ref="E24:F24" si="52">E30+E33</f>
        <v>636858</v>
      </c>
      <c r="F24" s="40">
        <f t="shared" si="52"/>
        <v>712410</v>
      </c>
      <c r="G24" s="40">
        <f t="shared" ref="G24:H24" si="53">G30+G33</f>
        <v>642828</v>
      </c>
      <c r="H24" s="40">
        <f t="shared" si="53"/>
        <v>578075</v>
      </c>
      <c r="I24" s="40">
        <f t="shared" ref="I24:J24" si="54">I30+I33</f>
        <v>606643</v>
      </c>
      <c r="J24" s="40">
        <f t="shared" si="54"/>
        <v>522253</v>
      </c>
      <c r="K24" s="40">
        <f t="shared" ref="K24" si="55">K30+K33</f>
        <v>549364</v>
      </c>
      <c r="L24" s="40"/>
      <c r="M24" s="40"/>
      <c r="N24" s="40"/>
      <c r="O24" s="7">
        <f>SUM(C24:N24)</f>
        <v>5921974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I25" si="56">SUM(C26:C27)</f>
        <v>7400</v>
      </c>
      <c r="D25" s="40">
        <f t="shared" si="56"/>
        <v>7109</v>
      </c>
      <c r="E25" s="40">
        <f t="shared" si="56"/>
        <v>7443</v>
      </c>
      <c r="F25" s="40">
        <f t="shared" si="56"/>
        <v>2605</v>
      </c>
      <c r="G25" s="40">
        <f t="shared" si="56"/>
        <v>4109</v>
      </c>
      <c r="H25" s="40">
        <f t="shared" si="56"/>
        <v>2547</v>
      </c>
      <c r="I25" s="40">
        <f t="shared" si="56"/>
        <v>2856</v>
      </c>
      <c r="J25" s="40">
        <f t="shared" ref="J25:K25" si="57">SUM(J26:J27)</f>
        <v>2957</v>
      </c>
      <c r="K25" s="40">
        <f t="shared" si="57"/>
        <v>350</v>
      </c>
      <c r="L25" s="40"/>
      <c r="M25" s="40"/>
      <c r="N25" s="40"/>
      <c r="O25" s="7">
        <f>SUM(O26:O27)</f>
        <v>37376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0</v>
      </c>
      <c r="L26" s="40"/>
      <c r="M26" s="40"/>
      <c r="N26" s="40"/>
      <c r="O26" s="7">
        <f>SUM(C26:N26)</f>
        <v>33075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/>
      <c r="M27" s="40"/>
      <c r="N27" s="40"/>
      <c r="O27" s="7">
        <f>SUM(C27:N27)</f>
        <v>4301</v>
      </c>
    </row>
    <row r="28" spans="1:18" ht="63" x14ac:dyDescent="0.25">
      <c r="A28" s="3" t="s">
        <v>41</v>
      </c>
      <c r="B28" s="13" t="s">
        <v>30</v>
      </c>
      <c r="C28" s="40">
        <f t="shared" ref="C28:I28" si="58">SUM(C29:C30)</f>
        <v>681080</v>
      </c>
      <c r="D28" s="40">
        <f t="shared" si="58"/>
        <v>717825</v>
      </c>
      <c r="E28" s="40">
        <f t="shared" si="58"/>
        <v>729616</v>
      </c>
      <c r="F28" s="40">
        <f t="shared" si="58"/>
        <v>746228</v>
      </c>
      <c r="G28" s="40">
        <f t="shared" si="58"/>
        <v>762591</v>
      </c>
      <c r="H28" s="40">
        <f t="shared" si="58"/>
        <v>759292</v>
      </c>
      <c r="I28" s="40">
        <f t="shared" si="58"/>
        <v>767881</v>
      </c>
      <c r="J28" s="40">
        <f t="shared" ref="J28:K28" si="59">SUM(J29:J30)</f>
        <v>744861</v>
      </c>
      <c r="K28" s="40">
        <f t="shared" si="59"/>
        <v>621929</v>
      </c>
      <c r="L28" s="40"/>
      <c r="M28" s="40"/>
      <c r="N28" s="40"/>
      <c r="O28" s="11">
        <f t="shared" ref="O28" si="60">SUM(O29:O30)</f>
        <v>6531303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224405</v>
      </c>
      <c r="L29" s="40"/>
      <c r="M29" s="40"/>
      <c r="N29" s="40"/>
      <c r="O29" s="11">
        <f>SUM(C29:N29)</f>
        <v>2736170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397524</v>
      </c>
      <c r="L30" s="40"/>
      <c r="M30" s="40"/>
      <c r="N30" s="40"/>
      <c r="O30" s="11">
        <f>SUM(C30:N30)</f>
        <v>3795133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D31" si="61">SUM(C32:C33)</f>
        <v>1035432</v>
      </c>
      <c r="D31" s="40">
        <f t="shared" si="61"/>
        <v>990040</v>
      </c>
      <c r="E31" s="40">
        <f t="shared" ref="E31:F31" si="62">SUM(E32:E33)</f>
        <v>584198</v>
      </c>
      <c r="F31" s="40">
        <f t="shared" si="62"/>
        <v>689602</v>
      </c>
      <c r="G31" s="40">
        <f t="shared" ref="G31:H31" si="63">SUM(G32:G33)</f>
        <v>603827</v>
      </c>
      <c r="H31" s="40">
        <f t="shared" si="63"/>
        <v>412701</v>
      </c>
      <c r="I31" s="40">
        <f t="shared" ref="I31:J31" si="64">SUM(I32:I33)</f>
        <v>484085</v>
      </c>
      <c r="J31" s="40">
        <f t="shared" si="64"/>
        <v>370741</v>
      </c>
      <c r="K31" s="40">
        <f t="shared" ref="K31" si="65">SUM(K32:K33)</f>
        <v>452873</v>
      </c>
      <c r="L31" s="40"/>
      <c r="M31" s="40"/>
      <c r="N31" s="40"/>
      <c r="O31" s="11">
        <f>SUM(O32:O33)</f>
        <v>5623499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301033</v>
      </c>
      <c r="L32" s="40"/>
      <c r="M32" s="40"/>
      <c r="N32" s="40"/>
      <c r="O32" s="11">
        <f>SUM(C32:N32)</f>
        <v>3496658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151840</v>
      </c>
      <c r="L33" s="40"/>
      <c r="M33" s="40"/>
      <c r="N33" s="40"/>
      <c r="O33" s="11">
        <f>SUM(C33:N33)</f>
        <v>2126841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v>0</v>
      </c>
      <c r="L34" s="40"/>
      <c r="M34" s="40"/>
      <c r="N34" s="40"/>
      <c r="O34" s="11">
        <f>SUM(C34:N34)</f>
        <v>11303189</v>
      </c>
    </row>
    <row r="35" spans="1:19" ht="31.5" x14ac:dyDescent="0.25">
      <c r="A35" s="5"/>
      <c r="B35" s="6" t="s">
        <v>34</v>
      </c>
      <c r="C35" s="40">
        <f t="shared" ref="C35:H35" si="66">C6-C16</f>
        <v>276961</v>
      </c>
      <c r="D35" s="40">
        <f t="shared" si="66"/>
        <v>26679</v>
      </c>
      <c r="E35" s="40">
        <f t="shared" si="66"/>
        <v>342014</v>
      </c>
      <c r="F35" s="40">
        <f t="shared" si="66"/>
        <v>51936</v>
      </c>
      <c r="G35" s="40">
        <f t="shared" si="66"/>
        <v>65421</v>
      </c>
      <c r="H35" s="40">
        <f t="shared" si="66"/>
        <v>216765</v>
      </c>
      <c r="I35" s="40">
        <f t="shared" ref="I35:J35" si="67">I6-I16</f>
        <v>341719</v>
      </c>
      <c r="J35" s="40">
        <f t="shared" si="67"/>
        <v>609583</v>
      </c>
      <c r="K35" s="40">
        <f t="shared" ref="K35" si="68">K6-K16</f>
        <v>81984</v>
      </c>
      <c r="L35" s="40"/>
      <c r="M35" s="40"/>
      <c r="N35" s="40"/>
      <c r="O35" s="7">
        <f t="shared" ref="O35" si="69">O6-O16</f>
        <v>2050438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D36" si="70">C35/C5</f>
        <v>3.7556350934193225E-2</v>
      </c>
      <c r="D36" s="41">
        <f t="shared" si="70"/>
        <v>3.9346017541194668E-3</v>
      </c>
      <c r="E36" s="41">
        <f t="shared" ref="E36:F36" si="71">E35/E5</f>
        <v>5.9697266954551645E-2</v>
      </c>
      <c r="F36" s="41">
        <f t="shared" si="71"/>
        <v>1.0242104206547524E-2</v>
      </c>
      <c r="G36" s="41">
        <f t="shared" ref="G36:H36" si="72">G35/G5</f>
        <v>1.5039154767364475E-2</v>
      </c>
      <c r="H36" s="41">
        <f t="shared" si="72"/>
        <v>5.2767285232536092E-2</v>
      </c>
      <c r="I36" s="41">
        <f t="shared" ref="I36:J36" si="73">I35/I5</f>
        <v>7.3430223463014879E-2</v>
      </c>
      <c r="J36" s="41">
        <f t="shared" si="73"/>
        <v>0.13423050371973758</v>
      </c>
      <c r="K36" s="41">
        <f t="shared" ref="K36" si="74">K35/K5</f>
        <v>4.7323506594259115E-2</v>
      </c>
      <c r="L36" s="41"/>
      <c r="M36" s="41"/>
      <c r="N36" s="41"/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O5" sqref="O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N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4864370</v>
      </c>
      <c r="L5" s="40">
        <f t="shared" si="0"/>
        <v>5427573</v>
      </c>
      <c r="M5" s="40">
        <f t="shared" si="0"/>
        <v>6210998</v>
      </c>
      <c r="N5" s="40">
        <f t="shared" si="0"/>
        <v>6536481</v>
      </c>
      <c r="O5" s="7">
        <f>O6</f>
        <v>65647509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si="1"/>
        <v>6780610</v>
      </c>
      <c r="E6" s="40">
        <f t="shared" si="1"/>
        <v>5729140</v>
      </c>
      <c r="F6" s="40">
        <f t="shared" si="1"/>
        <v>5070833</v>
      </c>
      <c r="G6" s="40">
        <f t="shared" si="1"/>
        <v>4350045</v>
      </c>
      <c r="H6" s="40">
        <f t="shared" si="1"/>
        <v>4107943</v>
      </c>
      <c r="I6" s="40">
        <f t="shared" si="1"/>
        <v>4653656</v>
      </c>
      <c r="J6" s="40">
        <f t="shared" si="1"/>
        <v>4541315</v>
      </c>
      <c r="K6" s="40">
        <f t="shared" si="1"/>
        <v>4864370</v>
      </c>
      <c r="L6" s="40">
        <f t="shared" ref="L6:M6" si="2">SUM(L7:L8)</f>
        <v>5427573</v>
      </c>
      <c r="M6" s="40">
        <f t="shared" si="2"/>
        <v>6210998</v>
      </c>
      <c r="N6" s="40">
        <f t="shared" ref="N6" si="3">SUM(N7:N8)</f>
        <v>6536481</v>
      </c>
      <c r="O6" s="7">
        <f t="shared" si="1"/>
        <v>65647509</v>
      </c>
    </row>
    <row r="7" spans="1:18" x14ac:dyDescent="0.25">
      <c r="A7" s="5"/>
      <c r="B7" s="10" t="s">
        <v>17</v>
      </c>
      <c r="C7" s="7">
        <f t="shared" ref="C7:K7" si="4">C10</f>
        <v>0</v>
      </c>
      <c r="D7" s="7">
        <f t="shared" si="4"/>
        <v>0</v>
      </c>
      <c r="E7" s="40">
        <f t="shared" si="4"/>
        <v>0</v>
      </c>
      <c r="F7" s="40">
        <f t="shared" si="4"/>
        <v>0</v>
      </c>
      <c r="G7" s="40">
        <f t="shared" si="4"/>
        <v>0</v>
      </c>
      <c r="H7" s="40">
        <f t="shared" si="4"/>
        <v>0</v>
      </c>
      <c r="I7" s="40">
        <f t="shared" si="4"/>
        <v>0</v>
      </c>
      <c r="J7" s="40">
        <f t="shared" si="4"/>
        <v>0</v>
      </c>
      <c r="K7" s="40">
        <f t="shared" si="4"/>
        <v>0</v>
      </c>
      <c r="L7" s="40">
        <f t="shared" ref="L7:M7" si="5">L10</f>
        <v>0</v>
      </c>
      <c r="M7" s="40">
        <f t="shared" si="5"/>
        <v>0</v>
      </c>
      <c r="N7" s="40">
        <f t="shared" ref="N7" si="6">N10</f>
        <v>0</v>
      </c>
      <c r="O7" s="7">
        <f t="shared" ref="O7" si="7">O10</f>
        <v>0</v>
      </c>
    </row>
    <row r="8" spans="1:18" x14ac:dyDescent="0.25">
      <c r="A8" s="5"/>
      <c r="B8" s="10" t="s">
        <v>46</v>
      </c>
      <c r="C8" s="7">
        <f t="shared" ref="C8:O8" si="8">C11+C14</f>
        <v>7374545</v>
      </c>
      <c r="D8" s="7">
        <f t="shared" si="8"/>
        <v>6780610</v>
      </c>
      <c r="E8" s="40">
        <f t="shared" si="8"/>
        <v>5729140</v>
      </c>
      <c r="F8" s="40">
        <f t="shared" si="8"/>
        <v>5070833</v>
      </c>
      <c r="G8" s="40">
        <f t="shared" si="8"/>
        <v>4350045</v>
      </c>
      <c r="H8" s="40">
        <f t="shared" si="8"/>
        <v>4107943</v>
      </c>
      <c r="I8" s="40">
        <f t="shared" si="8"/>
        <v>4653656</v>
      </c>
      <c r="J8" s="40">
        <f t="shared" si="8"/>
        <v>4541315</v>
      </c>
      <c r="K8" s="40">
        <f t="shared" si="8"/>
        <v>4864370</v>
      </c>
      <c r="L8" s="40">
        <f t="shared" ref="L8:M8" si="9">L11+L14</f>
        <v>5427573</v>
      </c>
      <c r="M8" s="40">
        <f t="shared" si="9"/>
        <v>6210998</v>
      </c>
      <c r="N8" s="40">
        <f t="shared" ref="N8" si="10">N11+N14</f>
        <v>6536481</v>
      </c>
      <c r="O8" s="7">
        <f t="shared" si="8"/>
        <v>65647509</v>
      </c>
    </row>
    <row r="9" spans="1:18" x14ac:dyDescent="0.25">
      <c r="A9" s="5" t="s">
        <v>19</v>
      </c>
      <c r="B9" s="10" t="s">
        <v>20</v>
      </c>
      <c r="C9" s="11">
        <f t="shared" ref="C9:K9" si="11">SUM(C10:C11)</f>
        <v>2590704</v>
      </c>
      <c r="D9" s="11">
        <f t="shared" si="11"/>
        <v>2237688</v>
      </c>
      <c r="E9" s="40">
        <f t="shared" si="11"/>
        <v>1866972</v>
      </c>
      <c r="F9" s="40">
        <f t="shared" si="11"/>
        <v>1869684</v>
      </c>
      <c r="G9" s="40">
        <f t="shared" si="11"/>
        <v>1637028</v>
      </c>
      <c r="H9" s="40">
        <f t="shared" si="11"/>
        <v>1445064</v>
      </c>
      <c r="I9" s="40">
        <f t="shared" si="11"/>
        <v>1793400</v>
      </c>
      <c r="J9" s="40">
        <f t="shared" si="11"/>
        <v>1524600</v>
      </c>
      <c r="K9" s="40">
        <f t="shared" si="11"/>
        <v>1732416</v>
      </c>
      <c r="L9" s="40">
        <f t="shared" ref="L9:M9" si="12">SUM(L10:L11)</f>
        <v>1869096</v>
      </c>
      <c r="M9" s="40">
        <f t="shared" si="12"/>
        <v>2063964</v>
      </c>
      <c r="N9" s="40">
        <f t="shared" ref="N9" si="13">SUM(N10:N11)</f>
        <v>2145828</v>
      </c>
      <c r="O9" s="11">
        <f t="shared" ref="O9" si="14">SUM(O10:O11)</f>
        <v>22776444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40">
        <v>1869096</v>
      </c>
      <c r="M11" s="40">
        <v>2063964</v>
      </c>
      <c r="N11" s="40">
        <v>2145828</v>
      </c>
      <c r="O11" s="11">
        <f>SUM(C11:N11)</f>
        <v>22776444</v>
      </c>
    </row>
    <row r="12" spans="1:18" ht="18.75" x14ac:dyDescent="0.25">
      <c r="A12" s="24" t="s">
        <v>48</v>
      </c>
      <c r="B12" s="25" t="s">
        <v>49</v>
      </c>
      <c r="C12" s="11">
        <f t="shared" ref="C12:K12" si="15">C14</f>
        <v>4783841</v>
      </c>
      <c r="D12" s="11">
        <f t="shared" si="15"/>
        <v>4542922</v>
      </c>
      <c r="E12" s="40">
        <f t="shared" si="15"/>
        <v>3862168</v>
      </c>
      <c r="F12" s="40">
        <f t="shared" si="15"/>
        <v>3201149</v>
      </c>
      <c r="G12" s="40">
        <f t="shared" si="15"/>
        <v>2713017</v>
      </c>
      <c r="H12" s="40">
        <f t="shared" si="15"/>
        <v>2662879</v>
      </c>
      <c r="I12" s="40">
        <f t="shared" si="15"/>
        <v>2860256</v>
      </c>
      <c r="J12" s="40">
        <f t="shared" si="15"/>
        <v>3016715</v>
      </c>
      <c r="K12" s="40">
        <f t="shared" si="15"/>
        <v>3131954</v>
      </c>
      <c r="L12" s="40">
        <f t="shared" ref="L12:M12" si="16">L14</f>
        <v>3558477</v>
      </c>
      <c r="M12" s="40">
        <f t="shared" si="16"/>
        <v>4147034</v>
      </c>
      <c r="N12" s="40">
        <f t="shared" ref="N12" si="17">N14</f>
        <v>4390653</v>
      </c>
      <c r="O12" s="11">
        <f t="shared" ref="O12" si="18">SUM(O13:O14)</f>
        <v>42871065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3131954</v>
      </c>
      <c r="L14" s="40">
        <v>3558477</v>
      </c>
      <c r="M14" s="40">
        <v>4147034</v>
      </c>
      <c r="N14" s="40">
        <v>4390653</v>
      </c>
      <c r="O14" s="11">
        <f>SUM(C14:N14)</f>
        <v>42871065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K16" si="19">C17+C34</f>
        <v>7097584</v>
      </c>
      <c r="D16" s="7">
        <f t="shared" si="19"/>
        <v>6753931</v>
      </c>
      <c r="E16" s="40">
        <f t="shared" si="19"/>
        <v>5387126</v>
      </c>
      <c r="F16" s="40">
        <f t="shared" si="19"/>
        <v>5018897</v>
      </c>
      <c r="G16" s="40">
        <f t="shared" si="19"/>
        <v>4284624</v>
      </c>
      <c r="H16" s="40">
        <f t="shared" si="19"/>
        <v>3891178</v>
      </c>
      <c r="I16" s="40">
        <f t="shared" si="19"/>
        <v>4311937</v>
      </c>
      <c r="J16" s="40">
        <f t="shared" si="19"/>
        <v>3931732</v>
      </c>
      <c r="K16" s="40">
        <f t="shared" si="19"/>
        <v>4608982</v>
      </c>
      <c r="L16" s="40">
        <f t="shared" ref="L16:M16" si="20">L17+L34</f>
        <v>5045229</v>
      </c>
      <c r="M16" s="40">
        <f t="shared" si="20"/>
        <v>5863262</v>
      </c>
      <c r="N16" s="40">
        <f t="shared" ref="N16" si="21">N17+N34</f>
        <v>6117055</v>
      </c>
      <c r="O16" s="7">
        <f t="shared" ref="O16" si="22">O17+O34</f>
        <v>62250766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K17" si="23">C18+C22+C25</f>
        <v>4830657</v>
      </c>
      <c r="D17" s="40">
        <f t="shared" si="23"/>
        <v>4692017</v>
      </c>
      <c r="E17" s="40">
        <f t="shared" si="23"/>
        <v>3781245</v>
      </c>
      <c r="F17" s="40">
        <f t="shared" si="23"/>
        <v>3754469</v>
      </c>
      <c r="G17" s="40">
        <f t="shared" si="23"/>
        <v>3308062</v>
      </c>
      <c r="H17" s="40">
        <f t="shared" si="23"/>
        <v>2957576</v>
      </c>
      <c r="I17" s="40">
        <f t="shared" si="23"/>
        <v>3192360</v>
      </c>
      <c r="J17" s="40">
        <f t="shared" si="23"/>
        <v>2857434</v>
      </c>
      <c r="K17" s="40">
        <f t="shared" si="23"/>
        <v>3324515</v>
      </c>
      <c r="L17" s="40">
        <f t="shared" ref="L17:M17" si="24">L18+L22+L25</f>
        <v>3357307</v>
      </c>
      <c r="M17" s="40">
        <f t="shared" si="24"/>
        <v>4231795</v>
      </c>
      <c r="N17" s="40">
        <f t="shared" ref="N17" si="25">N18+N22+N25</f>
        <v>4339743</v>
      </c>
      <c r="O17" s="7">
        <f t="shared" ref="O17" si="26">O18+O22</f>
        <v>44566409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27">SUM(C19:C21)</f>
        <v>3106745</v>
      </c>
      <c r="D18" s="40">
        <f t="shared" si="27"/>
        <v>2977043</v>
      </c>
      <c r="E18" s="40">
        <f t="shared" ref="E18:K18" si="28">SUM(E19:E21)</f>
        <v>2459988</v>
      </c>
      <c r="F18" s="40">
        <f t="shared" si="28"/>
        <v>2316034</v>
      </c>
      <c r="G18" s="40">
        <f t="shared" si="28"/>
        <v>1937535</v>
      </c>
      <c r="H18" s="40">
        <f t="shared" si="28"/>
        <v>1783036</v>
      </c>
      <c r="I18" s="40">
        <f t="shared" si="28"/>
        <v>1937538</v>
      </c>
      <c r="J18" s="40">
        <f t="shared" si="28"/>
        <v>1738875</v>
      </c>
      <c r="K18" s="40">
        <f t="shared" si="28"/>
        <v>1897419</v>
      </c>
      <c r="L18" s="40">
        <f t="shared" ref="L18:M18" si="29">SUM(L19:L21)</f>
        <v>1960532</v>
      </c>
      <c r="M18" s="40">
        <f t="shared" si="29"/>
        <v>2661642</v>
      </c>
      <c r="N18" s="40">
        <f t="shared" ref="N18" si="30">SUM(N19:N21)</f>
        <v>2778203</v>
      </c>
      <c r="O18" s="7">
        <f t="shared" ref="O18" si="31">SUM(O19:O21)</f>
        <v>27554590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f>1123664+218020</f>
        <v>1341684</v>
      </c>
      <c r="L19" s="42">
        <f>1350266+234824</f>
        <v>1585090</v>
      </c>
      <c r="M19" s="42">
        <f>1985650+199335</f>
        <v>2184985</v>
      </c>
      <c r="N19" s="42">
        <f>2036448+233115</f>
        <v>2269563</v>
      </c>
      <c r="O19" s="11">
        <f>SUM(C19:N19)</f>
        <v>21265876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264802+5025</f>
        <v>269827</v>
      </c>
      <c r="L20" s="40">
        <f>213837+3738</f>
        <v>217575</v>
      </c>
      <c r="M20" s="40">
        <f>246567+4318</f>
        <v>250885</v>
      </c>
      <c r="N20" s="40">
        <f>258458+4327</f>
        <v>262785</v>
      </c>
      <c r="O20" s="11">
        <f>SUM(C20:N20)</f>
        <v>2913002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285908</v>
      </c>
      <c r="L21" s="38">
        <v>157867</v>
      </c>
      <c r="M21" s="38">
        <v>225772</v>
      </c>
      <c r="N21" s="38">
        <v>245855</v>
      </c>
      <c r="O21" s="11">
        <f>SUM(C21:N21)</f>
        <v>3375712</v>
      </c>
    </row>
    <row r="22" spans="1:18" ht="31.5" x14ac:dyDescent="0.25">
      <c r="A22" s="12" t="s">
        <v>27</v>
      </c>
      <c r="B22" s="10" t="s">
        <v>28</v>
      </c>
      <c r="C22" s="40">
        <f t="shared" ref="C22:K22" si="32">C23+C24</f>
        <v>1716512</v>
      </c>
      <c r="D22" s="40">
        <f t="shared" si="32"/>
        <v>1707865</v>
      </c>
      <c r="E22" s="40">
        <f t="shared" si="32"/>
        <v>1313814</v>
      </c>
      <c r="F22" s="40">
        <f t="shared" si="32"/>
        <v>1435830</v>
      </c>
      <c r="G22" s="40">
        <f t="shared" si="32"/>
        <v>1366418</v>
      </c>
      <c r="H22" s="40">
        <f t="shared" si="32"/>
        <v>1171993</v>
      </c>
      <c r="I22" s="40">
        <f t="shared" si="32"/>
        <v>1251966</v>
      </c>
      <c r="J22" s="40">
        <f t="shared" si="32"/>
        <v>1115602</v>
      </c>
      <c r="K22" s="40">
        <f t="shared" si="32"/>
        <v>1423175</v>
      </c>
      <c r="L22" s="40">
        <f t="shared" ref="L22:M22" si="33">L23+L24</f>
        <v>1391185</v>
      </c>
      <c r="M22" s="40">
        <f t="shared" si="33"/>
        <v>1561932</v>
      </c>
      <c r="N22" s="40">
        <f t="shared" ref="N22" si="34">N23+N24</f>
        <v>1555527</v>
      </c>
      <c r="O22" s="7">
        <f>O23+O24</f>
        <v>17011819</v>
      </c>
      <c r="Q22" s="8"/>
      <c r="R22" s="8"/>
    </row>
    <row r="23" spans="1:18" x14ac:dyDescent="0.25">
      <c r="A23" s="12"/>
      <c r="B23" s="10" t="s">
        <v>17</v>
      </c>
      <c r="C23" s="40">
        <f t="shared" ref="C23:K24" si="35">C29+C32</f>
        <v>876867</v>
      </c>
      <c r="D23" s="40">
        <f t="shared" si="35"/>
        <v>873967</v>
      </c>
      <c r="E23" s="40">
        <f t="shared" si="35"/>
        <v>676956</v>
      </c>
      <c r="F23" s="40">
        <f t="shared" si="35"/>
        <v>723420</v>
      </c>
      <c r="G23" s="40">
        <f t="shared" si="35"/>
        <v>723590</v>
      </c>
      <c r="H23" s="40">
        <f t="shared" si="35"/>
        <v>593918</v>
      </c>
      <c r="I23" s="40">
        <f t="shared" si="35"/>
        <v>645323</v>
      </c>
      <c r="J23" s="40">
        <f t="shared" si="35"/>
        <v>593349</v>
      </c>
      <c r="K23" s="40">
        <f t="shared" si="35"/>
        <v>722640</v>
      </c>
      <c r="L23" s="40">
        <f t="shared" ref="L23:M23" si="36">L29+L32</f>
        <v>708763</v>
      </c>
      <c r="M23" s="40">
        <f t="shared" si="36"/>
        <v>798670</v>
      </c>
      <c r="N23" s="40">
        <f t="shared" ref="N23" si="37">N29+N32</f>
        <v>797992</v>
      </c>
      <c r="O23" s="7">
        <f>SUM(C23:N23)</f>
        <v>8735455</v>
      </c>
      <c r="Q23" s="8"/>
      <c r="R23" s="8"/>
    </row>
    <row r="24" spans="1:18" x14ac:dyDescent="0.25">
      <c r="A24" s="12"/>
      <c r="B24" s="10" t="s">
        <v>18</v>
      </c>
      <c r="C24" s="40">
        <f t="shared" si="35"/>
        <v>839645</v>
      </c>
      <c r="D24" s="40">
        <f t="shared" si="35"/>
        <v>833898</v>
      </c>
      <c r="E24" s="40">
        <f t="shared" si="35"/>
        <v>636858</v>
      </c>
      <c r="F24" s="40">
        <f t="shared" si="35"/>
        <v>712410</v>
      </c>
      <c r="G24" s="40">
        <f t="shared" si="35"/>
        <v>642828</v>
      </c>
      <c r="H24" s="40">
        <f t="shared" si="35"/>
        <v>578075</v>
      </c>
      <c r="I24" s="40">
        <f t="shared" si="35"/>
        <v>606643</v>
      </c>
      <c r="J24" s="40">
        <f t="shared" si="35"/>
        <v>522253</v>
      </c>
      <c r="K24" s="40">
        <f t="shared" si="35"/>
        <v>700535</v>
      </c>
      <c r="L24" s="40">
        <f t="shared" ref="L24:M24" si="38">L30+L33</f>
        <v>682422</v>
      </c>
      <c r="M24" s="40">
        <f t="shared" si="38"/>
        <v>763262</v>
      </c>
      <c r="N24" s="40">
        <f t="shared" ref="N24" si="39">N30+N33</f>
        <v>757535</v>
      </c>
      <c r="O24" s="7">
        <f>SUM(C24:N24)</f>
        <v>8276364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K25" si="40">SUM(C26:C27)</f>
        <v>7400</v>
      </c>
      <c r="D25" s="40">
        <f t="shared" si="40"/>
        <v>7109</v>
      </c>
      <c r="E25" s="40">
        <f t="shared" si="40"/>
        <v>7443</v>
      </c>
      <c r="F25" s="40">
        <f t="shared" si="40"/>
        <v>2605</v>
      </c>
      <c r="G25" s="40">
        <f t="shared" si="40"/>
        <v>4109</v>
      </c>
      <c r="H25" s="40">
        <f t="shared" si="40"/>
        <v>2547</v>
      </c>
      <c r="I25" s="40">
        <f t="shared" si="40"/>
        <v>2856</v>
      </c>
      <c r="J25" s="40">
        <f t="shared" si="40"/>
        <v>2957</v>
      </c>
      <c r="K25" s="40">
        <f t="shared" si="40"/>
        <v>3921</v>
      </c>
      <c r="L25" s="40">
        <f t="shared" ref="L25:M25" si="41">SUM(L26:L27)</f>
        <v>5590</v>
      </c>
      <c r="M25" s="40">
        <f t="shared" si="41"/>
        <v>8221</v>
      </c>
      <c r="N25" s="40">
        <f t="shared" ref="N25" si="42">SUM(N26:N27)</f>
        <v>6013</v>
      </c>
      <c r="O25" s="7">
        <f>SUM(O26:O27)</f>
        <v>60771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3571</v>
      </c>
      <c r="L26" s="40">
        <v>5190</v>
      </c>
      <c r="M26" s="40">
        <v>7421</v>
      </c>
      <c r="N26" s="40">
        <v>5693</v>
      </c>
      <c r="O26" s="7">
        <f>SUM(C26:N26)</f>
        <v>54950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>
        <v>400</v>
      </c>
      <c r="M27" s="40">
        <v>800</v>
      </c>
      <c r="N27" s="40">
        <v>320</v>
      </c>
      <c r="O27" s="7">
        <f>SUM(C27:N27)</f>
        <v>5821</v>
      </c>
    </row>
    <row r="28" spans="1:18" ht="63" x14ac:dyDescent="0.25">
      <c r="A28" s="3" t="s">
        <v>41</v>
      </c>
      <c r="B28" s="13" t="s">
        <v>30</v>
      </c>
      <c r="C28" s="40">
        <f t="shared" ref="C28:K28" si="43">SUM(C29:C30)</f>
        <v>681080</v>
      </c>
      <c r="D28" s="40">
        <f t="shared" si="43"/>
        <v>717825</v>
      </c>
      <c r="E28" s="40">
        <f t="shared" si="43"/>
        <v>729616</v>
      </c>
      <c r="F28" s="40">
        <f t="shared" si="43"/>
        <v>746228</v>
      </c>
      <c r="G28" s="40">
        <f t="shared" si="43"/>
        <v>762591</v>
      </c>
      <c r="H28" s="40">
        <f t="shared" si="43"/>
        <v>759292</v>
      </c>
      <c r="I28" s="40">
        <f t="shared" si="43"/>
        <v>767881</v>
      </c>
      <c r="J28" s="40">
        <f t="shared" si="43"/>
        <v>744861</v>
      </c>
      <c r="K28" s="40">
        <f t="shared" si="43"/>
        <v>791494</v>
      </c>
      <c r="L28" s="40">
        <f t="shared" ref="L28:M28" si="44">SUM(L29:L30)</f>
        <v>789637</v>
      </c>
      <c r="M28" s="40">
        <f t="shared" si="44"/>
        <v>855765</v>
      </c>
      <c r="N28" s="40">
        <f t="shared" ref="N28" si="45">SUM(N29:N30)</f>
        <v>813413</v>
      </c>
      <c r="O28" s="11">
        <f t="shared" ref="O28" si="46">SUM(O29:O30)</f>
        <v>9159683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327465</v>
      </c>
      <c r="L29" s="40">
        <v>327800</v>
      </c>
      <c r="M29" s="40">
        <v>367940</v>
      </c>
      <c r="N29" s="40">
        <v>342455</v>
      </c>
      <c r="O29" s="11">
        <f>SUM(C29:N29)</f>
        <v>3877425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464029</v>
      </c>
      <c r="L30" s="40">
        <v>461837</v>
      </c>
      <c r="M30" s="40">
        <v>487825</v>
      </c>
      <c r="N30" s="40">
        <v>470958</v>
      </c>
      <c r="O30" s="11">
        <f>SUM(C30:N30)</f>
        <v>5282258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K31" si="47">SUM(C32:C33)</f>
        <v>1035432</v>
      </c>
      <c r="D31" s="40">
        <f t="shared" si="47"/>
        <v>990040</v>
      </c>
      <c r="E31" s="40">
        <f t="shared" si="47"/>
        <v>584198</v>
      </c>
      <c r="F31" s="40">
        <f t="shared" si="47"/>
        <v>689602</v>
      </c>
      <c r="G31" s="40">
        <f t="shared" si="47"/>
        <v>603827</v>
      </c>
      <c r="H31" s="40">
        <f t="shared" si="47"/>
        <v>412701</v>
      </c>
      <c r="I31" s="40">
        <f t="shared" si="47"/>
        <v>484085</v>
      </c>
      <c r="J31" s="40">
        <f t="shared" si="47"/>
        <v>370741</v>
      </c>
      <c r="K31" s="40">
        <f t="shared" si="47"/>
        <v>631681</v>
      </c>
      <c r="L31" s="40">
        <f t="shared" ref="L31:M31" si="48">SUM(L32:L33)</f>
        <v>601548</v>
      </c>
      <c r="M31" s="40">
        <f t="shared" si="48"/>
        <v>706167</v>
      </c>
      <c r="N31" s="40">
        <f t="shared" ref="N31" si="49">SUM(N32:N33)</f>
        <v>742114</v>
      </c>
      <c r="O31" s="11">
        <f>SUM(O32:O33)</f>
        <v>7852136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395175</v>
      </c>
      <c r="L32" s="40">
        <v>380963</v>
      </c>
      <c r="M32" s="40">
        <v>430730</v>
      </c>
      <c r="N32" s="40">
        <v>455537</v>
      </c>
      <c r="O32" s="11">
        <f>SUM(C32:N32)</f>
        <v>4858030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236506</v>
      </c>
      <c r="L33" s="40">
        <v>220585</v>
      </c>
      <c r="M33" s="40">
        <v>275437</v>
      </c>
      <c r="N33" s="40">
        <v>286577</v>
      </c>
      <c r="O33" s="11">
        <f>SUM(C33:N33)</f>
        <v>2994106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f>335173+949294</f>
        <v>1284467</v>
      </c>
      <c r="L34" s="40">
        <f>350478+1337444</f>
        <v>1687922</v>
      </c>
      <c r="M34" s="40">
        <f>359436+1272031</f>
        <v>1631467</v>
      </c>
      <c r="N34" s="40">
        <f>390214+1387098</f>
        <v>1777312</v>
      </c>
      <c r="O34" s="11">
        <f>SUM(C34:N34)</f>
        <v>17684357</v>
      </c>
    </row>
    <row r="35" spans="1:19" ht="31.5" x14ac:dyDescent="0.25">
      <c r="A35" s="5"/>
      <c r="B35" s="6" t="s">
        <v>34</v>
      </c>
      <c r="C35" s="40">
        <f t="shared" ref="C35:J35" si="50">C6-C16</f>
        <v>276961</v>
      </c>
      <c r="D35" s="40">
        <f t="shared" si="50"/>
        <v>26679</v>
      </c>
      <c r="E35" s="40">
        <f t="shared" si="50"/>
        <v>342014</v>
      </c>
      <c r="F35" s="40">
        <f t="shared" si="50"/>
        <v>51936</v>
      </c>
      <c r="G35" s="40">
        <f t="shared" si="50"/>
        <v>65421</v>
      </c>
      <c r="H35" s="40">
        <f t="shared" si="50"/>
        <v>216765</v>
      </c>
      <c r="I35" s="40">
        <f t="shared" si="50"/>
        <v>341719</v>
      </c>
      <c r="J35" s="40">
        <f t="shared" si="50"/>
        <v>609583</v>
      </c>
      <c r="K35" s="40">
        <f>K6-K16</f>
        <v>255388</v>
      </c>
      <c r="L35" s="40">
        <f>L6-L16</f>
        <v>382344</v>
      </c>
      <c r="M35" s="40">
        <f>M6-M16</f>
        <v>347736</v>
      </c>
      <c r="N35" s="40">
        <f>N6-N16</f>
        <v>419426</v>
      </c>
      <c r="O35" s="7">
        <f t="shared" ref="O35" si="51">O6-O16</f>
        <v>3396743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K36" si="52">C35/C5</f>
        <v>3.7556350934193225E-2</v>
      </c>
      <c r="D36" s="41">
        <f t="shared" si="52"/>
        <v>3.9346017541194668E-3</v>
      </c>
      <c r="E36" s="41">
        <f t="shared" si="52"/>
        <v>5.9697266954551645E-2</v>
      </c>
      <c r="F36" s="41">
        <f t="shared" si="52"/>
        <v>1.0242104206547524E-2</v>
      </c>
      <c r="G36" s="41">
        <f t="shared" si="52"/>
        <v>1.5039154767364475E-2</v>
      </c>
      <c r="H36" s="41">
        <f t="shared" si="52"/>
        <v>5.2767285232536092E-2</v>
      </c>
      <c r="I36" s="41">
        <f t="shared" si="52"/>
        <v>7.3430223463014879E-2</v>
      </c>
      <c r="J36" s="41">
        <f t="shared" si="52"/>
        <v>0.13423050371973758</v>
      </c>
      <c r="K36" s="41">
        <f t="shared" si="52"/>
        <v>5.2501762818206676E-2</v>
      </c>
      <c r="L36" s="41">
        <f t="shared" ref="L36:M36" si="53">L35/L5</f>
        <v>7.0444745745474088E-2</v>
      </c>
      <c r="M36" s="41">
        <f t="shared" si="53"/>
        <v>5.5987137654850312E-2</v>
      </c>
      <c r="N36" s="41">
        <f t="shared" ref="N36" si="54">N35/N5</f>
        <v>6.4166942426666582E-2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2:S43"/>
  <sheetViews>
    <sheetView tabSelected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41" sqref="C41"/>
    </sheetView>
  </sheetViews>
  <sheetFormatPr defaultRowHeight="15.75" outlineLevelCol="1" x14ac:dyDescent="0.25"/>
  <cols>
    <col min="1" max="1" width="9.140625" style="1"/>
    <col min="2" max="2" width="59.42578125" style="1" customWidth="1"/>
    <col min="3" max="6" width="16.7109375" style="1" customWidth="1"/>
    <col min="7" max="8" width="15.5703125" style="1" customWidth="1"/>
    <col min="9" max="9" width="15.140625" style="1" customWidth="1"/>
    <col min="10" max="10" width="14.42578125" style="1" customWidth="1"/>
    <col min="11" max="11" width="14.7109375" style="1" customWidth="1" outlineLevel="1"/>
    <col min="12" max="12" width="13.5703125" style="1" customWidth="1" outlineLevel="1"/>
    <col min="13" max="13" width="14.14062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53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" si="0">C6</f>
        <v>5565045.9999999944</v>
      </c>
      <c r="D5" s="7"/>
      <c r="E5" s="7"/>
      <c r="F5" s="7"/>
      <c r="G5" s="7"/>
      <c r="H5" s="7"/>
      <c r="I5" s="7"/>
      <c r="J5" s="7"/>
      <c r="K5" s="47"/>
      <c r="L5" s="47"/>
      <c r="M5" s="47"/>
      <c r="N5" s="47"/>
      <c r="O5" s="7">
        <f>O6</f>
        <v>5485985.9999999944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" si="1">SUM(C7:C8)</f>
        <v>5565045.9999999944</v>
      </c>
      <c r="D6" s="7"/>
      <c r="E6" s="7"/>
      <c r="F6" s="7"/>
      <c r="G6" s="7"/>
      <c r="H6" s="7"/>
      <c r="I6" s="7"/>
      <c r="J6" s="7"/>
      <c r="K6" s="47"/>
      <c r="L6" s="47"/>
      <c r="M6" s="47"/>
      <c r="N6" s="47"/>
      <c r="O6" s="7">
        <f>SUM(O7:O8)</f>
        <v>5485985.9999999944</v>
      </c>
    </row>
    <row r="7" spans="1:18" x14ac:dyDescent="0.25">
      <c r="A7" s="5"/>
      <c r="B7" s="10" t="s">
        <v>17</v>
      </c>
      <c r="C7" s="7">
        <f t="shared" ref="C7" si="2">C10</f>
        <v>0</v>
      </c>
      <c r="D7" s="7"/>
      <c r="E7" s="7"/>
      <c r="F7" s="7"/>
      <c r="G7" s="7"/>
      <c r="H7" s="7"/>
      <c r="I7" s="7"/>
      <c r="J7" s="7"/>
      <c r="K7" s="47"/>
      <c r="L7" s="47"/>
      <c r="M7" s="47"/>
      <c r="N7" s="47"/>
      <c r="O7" s="7">
        <f t="shared" ref="O7" si="3">O10</f>
        <v>0</v>
      </c>
    </row>
    <row r="8" spans="1:18" x14ac:dyDescent="0.25">
      <c r="A8" s="5"/>
      <c r="B8" s="10" t="s">
        <v>46</v>
      </c>
      <c r="C8" s="7">
        <f>C11+C14+C17</f>
        <v>5565045.9999999944</v>
      </c>
      <c r="D8" s="7"/>
      <c r="E8" s="7"/>
      <c r="F8" s="7"/>
      <c r="G8" s="7"/>
      <c r="H8" s="7"/>
      <c r="I8" s="7"/>
      <c r="J8" s="7"/>
      <c r="K8" s="47"/>
      <c r="L8" s="47"/>
      <c r="M8" s="47"/>
      <c r="N8" s="47"/>
      <c r="O8" s="7">
        <f t="shared" ref="O8" si="4">O11+O14</f>
        <v>5485985.9999999944</v>
      </c>
    </row>
    <row r="9" spans="1:18" x14ac:dyDescent="0.25">
      <c r="A9" s="5" t="s">
        <v>19</v>
      </c>
      <c r="B9" s="10" t="s">
        <v>56</v>
      </c>
      <c r="C9" s="11">
        <f t="shared" ref="C9" si="5">SUM(C10:C11)</f>
        <v>2844791.9999999995</v>
      </c>
      <c r="D9" s="11"/>
      <c r="E9" s="7"/>
      <c r="F9" s="7"/>
      <c r="G9" s="7"/>
      <c r="H9" s="7"/>
      <c r="I9" s="7"/>
      <c r="J9" s="7"/>
      <c r="K9" s="47"/>
      <c r="L9" s="47"/>
      <c r="M9" s="47"/>
      <c r="N9" s="47"/>
      <c r="O9" s="11">
        <f>SUM(O10:O11)</f>
        <v>2844791.9999999995</v>
      </c>
    </row>
    <row r="10" spans="1:18" x14ac:dyDescent="0.25">
      <c r="A10" s="5"/>
      <c r="B10" s="10" t="s">
        <v>17</v>
      </c>
      <c r="C10" s="11"/>
      <c r="D10" s="11"/>
      <c r="E10" s="7"/>
      <c r="F10" s="7"/>
      <c r="G10" s="44"/>
      <c r="H10" s="7"/>
      <c r="I10" s="7"/>
      <c r="J10" s="44"/>
      <c r="K10" s="47"/>
      <c r="L10" s="47"/>
      <c r="M10" s="39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52">
        <f>[2]январь!$C$14</f>
        <v>2844791.9999999995</v>
      </c>
      <c r="D11" s="11"/>
      <c r="E11" s="7"/>
      <c r="F11" s="7"/>
      <c r="G11" s="7"/>
      <c r="H11" s="7"/>
      <c r="I11" s="7"/>
      <c r="J11" s="7"/>
      <c r="K11" s="47"/>
      <c r="L11" s="47"/>
      <c r="M11" s="40"/>
      <c r="N11" s="40"/>
      <c r="O11" s="11">
        <f>SUM(C11:N11)</f>
        <v>2844791.9999999995</v>
      </c>
    </row>
    <row r="12" spans="1:18" x14ac:dyDescent="0.25">
      <c r="A12" s="24" t="s">
        <v>48</v>
      </c>
      <c r="B12" s="10" t="s">
        <v>52</v>
      </c>
      <c r="C12" s="11">
        <f t="shared" ref="C12" si="6">C14</f>
        <v>2641193.9999999949</v>
      </c>
      <c r="D12" s="11"/>
      <c r="E12" s="7"/>
      <c r="F12" s="7"/>
      <c r="G12" s="7"/>
      <c r="H12" s="7"/>
      <c r="I12" s="7"/>
      <c r="J12" s="7"/>
      <c r="K12" s="47"/>
      <c r="L12" s="47"/>
      <c r="M12" s="47"/>
      <c r="N12" s="47"/>
      <c r="O12" s="11">
        <f t="shared" ref="O12" si="7">SUM(O13:O14)</f>
        <v>2641193.9999999949</v>
      </c>
      <c r="Q12" s="8"/>
    </row>
    <row r="13" spans="1:18" x14ac:dyDescent="0.25">
      <c r="A13" s="5"/>
      <c r="B13" s="10" t="s">
        <v>17</v>
      </c>
      <c r="C13" s="11"/>
      <c r="D13" s="11"/>
      <c r="E13" s="7"/>
      <c r="F13" s="7"/>
      <c r="G13" s="7"/>
      <c r="H13" s="7"/>
      <c r="I13" s="44"/>
      <c r="J13" s="44"/>
      <c r="K13" s="47"/>
      <c r="L13" s="47"/>
      <c r="M13" s="39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52">
        <f>[2]январь!$C$15</f>
        <v>2641193.9999999949</v>
      </c>
      <c r="D14" s="11"/>
      <c r="E14" s="7"/>
      <c r="F14" s="7"/>
      <c r="G14" s="7"/>
      <c r="H14" s="7"/>
      <c r="I14" s="7"/>
      <c r="J14" s="7"/>
      <c r="K14" s="47"/>
      <c r="L14" s="47"/>
      <c r="M14" s="40"/>
      <c r="N14" s="50"/>
      <c r="O14" s="11">
        <f>SUM(C14:N14)</f>
        <v>2641193.9999999949</v>
      </c>
    </row>
    <row r="15" spans="1:18" x14ac:dyDescent="0.25">
      <c r="A15" s="24" t="s">
        <v>54</v>
      </c>
      <c r="B15" s="10" t="s">
        <v>55</v>
      </c>
      <c r="C15" s="11">
        <f t="shared" ref="C15" si="8">C17</f>
        <v>79059.999999999971</v>
      </c>
      <c r="D15" s="11"/>
      <c r="E15" s="7"/>
      <c r="F15" s="7"/>
      <c r="G15" s="7"/>
      <c r="H15" s="7"/>
      <c r="I15" s="7"/>
      <c r="J15" s="7"/>
      <c r="K15" s="47"/>
      <c r="L15" s="47"/>
      <c r="M15" s="47"/>
      <c r="N15" s="47"/>
      <c r="O15" s="11">
        <f t="shared" ref="O15" si="9">SUM(O16:O17)</f>
        <v>79059.999999999971</v>
      </c>
      <c r="Q15" s="8"/>
    </row>
    <row r="16" spans="1:18" x14ac:dyDescent="0.25">
      <c r="A16" s="5"/>
      <c r="B16" s="10" t="s">
        <v>17</v>
      </c>
      <c r="C16" s="11"/>
      <c r="D16" s="11"/>
      <c r="E16" s="7"/>
      <c r="F16" s="7"/>
      <c r="G16" s="7"/>
      <c r="H16" s="7"/>
      <c r="I16" s="44"/>
      <c r="J16" s="44"/>
      <c r="K16" s="47"/>
      <c r="L16" s="47"/>
      <c r="M16" s="39"/>
      <c r="N16" s="39"/>
      <c r="O16" s="11">
        <f>SUM(C16:N16)</f>
        <v>0</v>
      </c>
    </row>
    <row r="17" spans="1:18" x14ac:dyDescent="0.25">
      <c r="A17" s="5"/>
      <c r="B17" s="10" t="s">
        <v>46</v>
      </c>
      <c r="C17" s="52">
        <f>[2]январь!$C$16</f>
        <v>79059.999999999971</v>
      </c>
      <c r="D17" s="11"/>
      <c r="E17" s="7"/>
      <c r="F17" s="7"/>
      <c r="G17" s="7"/>
      <c r="H17" s="7"/>
      <c r="I17" s="7"/>
      <c r="J17" s="7"/>
      <c r="K17" s="47"/>
      <c r="L17" s="47"/>
      <c r="M17" s="40"/>
      <c r="N17" s="50"/>
      <c r="O17" s="11">
        <f>SUM(C17:N17)</f>
        <v>79059.999999999971</v>
      </c>
    </row>
    <row r="18" spans="1:18" x14ac:dyDescent="0.25">
      <c r="A18" s="5"/>
      <c r="B18" s="10"/>
      <c r="C18" s="11"/>
      <c r="D18" s="11"/>
      <c r="E18" s="44"/>
      <c r="F18" s="44"/>
      <c r="G18" s="44"/>
      <c r="H18" s="44"/>
      <c r="I18" s="44"/>
      <c r="J18" s="44"/>
      <c r="K18" s="47"/>
      <c r="L18" s="47"/>
      <c r="M18" s="39"/>
      <c r="N18" s="39"/>
      <c r="O18" s="11"/>
    </row>
    <row r="19" spans="1:18" x14ac:dyDescent="0.25">
      <c r="A19" s="5" t="s">
        <v>21</v>
      </c>
      <c r="B19" s="6" t="s">
        <v>22</v>
      </c>
      <c r="C19" s="7">
        <f t="shared" ref="C19" si="10">C20+C37</f>
        <v>5296009.5655172355</v>
      </c>
      <c r="D19" s="7"/>
      <c r="E19" s="7"/>
      <c r="F19" s="7"/>
      <c r="G19" s="7"/>
      <c r="H19" s="7"/>
      <c r="I19" s="7"/>
      <c r="J19" s="7"/>
      <c r="K19" s="47"/>
      <c r="L19" s="47"/>
      <c r="M19" s="47"/>
      <c r="N19" s="47"/>
      <c r="O19" s="7">
        <f t="shared" ref="O19" si="11">O20+O37</f>
        <v>5293572.5655172355</v>
      </c>
      <c r="Q19" s="8"/>
      <c r="R19" s="8"/>
    </row>
    <row r="20" spans="1:18" s="2" customFormat="1" ht="31.5" x14ac:dyDescent="0.25">
      <c r="A20" s="5" t="s">
        <v>23</v>
      </c>
      <c r="B20" s="10" t="s">
        <v>24</v>
      </c>
      <c r="C20" s="40">
        <f>C21+C25+C28</f>
        <v>3497385</v>
      </c>
      <c r="D20" s="40"/>
      <c r="E20" s="7"/>
      <c r="F20" s="7"/>
      <c r="G20" s="7"/>
      <c r="H20" s="7"/>
      <c r="I20" s="7"/>
      <c r="J20" s="7"/>
      <c r="K20" s="47"/>
      <c r="L20" s="47"/>
      <c r="M20" s="47"/>
      <c r="N20" s="47"/>
      <c r="O20" s="7">
        <f t="shared" ref="O20" si="12">O21+O25</f>
        <v>3494948</v>
      </c>
      <c r="P20" s="21"/>
    </row>
    <row r="21" spans="1:18" s="2" customFormat="1" ht="31.5" x14ac:dyDescent="0.25">
      <c r="A21" s="12" t="s">
        <v>25</v>
      </c>
      <c r="B21" s="10" t="s">
        <v>26</v>
      </c>
      <c r="C21" s="40">
        <f t="shared" ref="C21" si="13">SUM(C22:C24)</f>
        <v>1313348</v>
      </c>
      <c r="D21" s="40"/>
      <c r="E21" s="7"/>
      <c r="F21" s="7"/>
      <c r="G21" s="7"/>
      <c r="H21" s="7"/>
      <c r="I21" s="7"/>
      <c r="J21" s="7"/>
      <c r="K21" s="47"/>
      <c r="L21" s="47"/>
      <c r="M21" s="47"/>
      <c r="N21" s="47"/>
      <c r="O21" s="7">
        <f t="shared" ref="O21" si="14">SUM(O22:O24)</f>
        <v>1313348</v>
      </c>
      <c r="Q21" s="8"/>
      <c r="R21" s="8"/>
    </row>
    <row r="22" spans="1:18" x14ac:dyDescent="0.25">
      <c r="A22" s="12"/>
      <c r="B22" s="10" t="s">
        <v>17</v>
      </c>
      <c r="C22" s="53">
        <f>[3]Лист1!$V$565+[2]январь!$C$71</f>
        <v>893926</v>
      </c>
      <c r="D22" s="42"/>
      <c r="E22" s="46"/>
      <c r="F22" s="46"/>
      <c r="G22" s="46"/>
      <c r="H22" s="46"/>
      <c r="I22" s="46"/>
      <c r="J22" s="46"/>
      <c r="K22" s="47"/>
      <c r="L22" s="47"/>
      <c r="M22" s="42"/>
      <c r="N22" s="50"/>
      <c r="O22" s="11">
        <f>SUM(C22:N22)</f>
        <v>893926</v>
      </c>
      <c r="Q22" s="8"/>
      <c r="R22" s="8"/>
    </row>
    <row r="23" spans="1:18" x14ac:dyDescent="0.25">
      <c r="A23" s="12"/>
      <c r="B23" s="10" t="s">
        <v>18</v>
      </c>
      <c r="C23" s="53">
        <f>[3]Лист1!$V$566+[4]Лист1!$V$11</f>
        <v>419422</v>
      </c>
      <c r="D23" s="40"/>
      <c r="E23" s="7"/>
      <c r="F23" s="7"/>
      <c r="G23" s="7"/>
      <c r="H23" s="7"/>
      <c r="I23" s="7"/>
      <c r="J23" s="7"/>
      <c r="K23" s="47"/>
      <c r="L23" s="47"/>
      <c r="M23" s="40"/>
      <c r="N23" s="50"/>
      <c r="O23" s="11">
        <f>SUM(C23:N23)</f>
        <v>419422</v>
      </c>
    </row>
    <row r="24" spans="1:18" x14ac:dyDescent="0.25">
      <c r="A24" s="12"/>
      <c r="B24" s="10" t="s">
        <v>46</v>
      </c>
      <c r="C24" s="38"/>
      <c r="D24" s="38"/>
      <c r="E24" s="45"/>
      <c r="F24" s="45"/>
      <c r="G24" s="45"/>
      <c r="H24" s="45"/>
      <c r="I24" s="45"/>
      <c r="J24" s="45"/>
      <c r="K24" s="49"/>
      <c r="L24" s="49"/>
      <c r="M24" s="38"/>
      <c r="N24" s="51"/>
      <c r="O24" s="11">
        <f>SUM(C24:N24)</f>
        <v>0</v>
      </c>
    </row>
    <row r="25" spans="1:18" ht="31.5" x14ac:dyDescent="0.25">
      <c r="A25" s="12" t="s">
        <v>27</v>
      </c>
      <c r="B25" s="10" t="s">
        <v>28</v>
      </c>
      <c r="C25" s="7">
        <f t="shared" ref="C25" si="15">C26+C27</f>
        <v>2181600</v>
      </c>
      <c r="D25" s="7"/>
      <c r="E25" s="7"/>
      <c r="F25" s="7"/>
      <c r="G25" s="7"/>
      <c r="H25" s="7"/>
      <c r="I25" s="7"/>
      <c r="J25" s="7"/>
      <c r="K25" s="47"/>
      <c r="L25" s="47"/>
      <c r="M25" s="47"/>
      <c r="N25" s="47"/>
      <c r="O25" s="7">
        <f>O26+O27</f>
        <v>2181600</v>
      </c>
      <c r="Q25" s="8"/>
      <c r="R25" s="8"/>
    </row>
    <row r="26" spans="1:18" x14ac:dyDescent="0.25">
      <c r="A26" s="12"/>
      <c r="B26" s="10" t="s">
        <v>17</v>
      </c>
      <c r="C26" s="40">
        <f t="shared" ref="C26" si="16">C32+C35</f>
        <v>1058101</v>
      </c>
      <c r="D26" s="40"/>
      <c r="E26" s="7"/>
      <c r="F26" s="7"/>
      <c r="G26" s="7"/>
      <c r="H26" s="7"/>
      <c r="I26" s="7"/>
      <c r="J26" s="7"/>
      <c r="K26" s="47"/>
      <c r="L26" s="47"/>
      <c r="M26" s="47"/>
      <c r="N26" s="47"/>
      <c r="O26" s="7">
        <f>SUM(C26:N26)</f>
        <v>1058101</v>
      </c>
      <c r="Q26" s="8"/>
      <c r="R26" s="8"/>
    </row>
    <row r="27" spans="1:18" x14ac:dyDescent="0.25">
      <c r="A27" s="12"/>
      <c r="B27" s="10" t="s">
        <v>18</v>
      </c>
      <c r="C27" s="7">
        <f t="shared" ref="C27" si="17">C33+C36</f>
        <v>1123499</v>
      </c>
      <c r="D27" s="7"/>
      <c r="E27" s="7"/>
      <c r="F27" s="7"/>
      <c r="G27" s="7"/>
      <c r="H27" s="7"/>
      <c r="I27" s="7"/>
      <c r="J27" s="7"/>
      <c r="K27" s="47"/>
      <c r="L27" s="47"/>
      <c r="M27" s="47"/>
      <c r="N27" s="47"/>
      <c r="O27" s="7">
        <f>SUM(C27:N27)</f>
        <v>1123499</v>
      </c>
      <c r="Q27" s="8"/>
      <c r="R27" s="8"/>
    </row>
    <row r="28" spans="1:18" x14ac:dyDescent="0.25">
      <c r="A28" s="12" t="s">
        <v>40</v>
      </c>
      <c r="B28" s="10" t="s">
        <v>29</v>
      </c>
      <c r="C28" s="40">
        <f t="shared" ref="C28" si="18">SUM(C29:C30)</f>
        <v>2437</v>
      </c>
      <c r="D28" s="40"/>
      <c r="E28" s="7"/>
      <c r="F28" s="7"/>
      <c r="G28" s="7"/>
      <c r="H28" s="7"/>
      <c r="I28" s="7"/>
      <c r="J28" s="7"/>
      <c r="K28" s="47"/>
      <c r="L28" s="47"/>
      <c r="M28" s="47"/>
      <c r="N28" s="47"/>
      <c r="O28" s="7">
        <f>SUM(O29:O30)</f>
        <v>2437</v>
      </c>
    </row>
    <row r="29" spans="1:18" x14ac:dyDescent="0.25">
      <c r="A29" s="3"/>
      <c r="B29" s="10" t="s">
        <v>17</v>
      </c>
      <c r="C29" s="40"/>
      <c r="D29" s="40"/>
      <c r="E29" s="7"/>
      <c r="F29" s="7"/>
      <c r="G29" s="7"/>
      <c r="H29" s="7"/>
      <c r="I29" s="7"/>
      <c r="J29" s="7"/>
      <c r="K29" s="47"/>
      <c r="L29" s="47"/>
      <c r="M29" s="47"/>
      <c r="N29" s="47"/>
      <c r="O29" s="7">
        <f>SUM(C29:N29)</f>
        <v>0</v>
      </c>
    </row>
    <row r="30" spans="1:18" x14ac:dyDescent="0.25">
      <c r="A30" s="3"/>
      <c r="B30" s="10" t="s">
        <v>18</v>
      </c>
      <c r="C30" s="53">
        <f>[3]Лист1!$V$561+[3]Лист1!$V$563</f>
        <v>2437</v>
      </c>
      <c r="D30" s="40"/>
      <c r="E30" s="7"/>
      <c r="F30" s="7"/>
      <c r="G30" s="7"/>
      <c r="H30" s="7"/>
      <c r="I30" s="7"/>
      <c r="J30" s="7"/>
      <c r="K30" s="47"/>
      <c r="L30" s="47"/>
      <c r="M30" s="47"/>
      <c r="N30" s="47"/>
      <c r="O30" s="7">
        <f>SUM(C30:N30)</f>
        <v>2437</v>
      </c>
    </row>
    <row r="31" spans="1:18" ht="63" x14ac:dyDescent="0.25">
      <c r="A31" s="3" t="s">
        <v>41</v>
      </c>
      <c r="B31" s="13" t="s">
        <v>30</v>
      </c>
      <c r="C31" s="40">
        <f t="shared" ref="C31" si="19">SUM(C32:C33)</f>
        <v>872214</v>
      </c>
      <c r="D31" s="40"/>
      <c r="E31" s="7"/>
      <c r="F31" s="7"/>
      <c r="G31" s="7"/>
      <c r="H31" s="7"/>
      <c r="I31" s="7"/>
      <c r="J31" s="7"/>
      <c r="K31" s="47"/>
      <c r="L31" s="47"/>
      <c r="M31" s="47"/>
      <c r="N31" s="47"/>
      <c r="O31" s="11">
        <f t="shared" ref="O31" si="20">SUM(O32:O33)</f>
        <v>872214</v>
      </c>
      <c r="Q31" s="8"/>
      <c r="R31" s="8"/>
    </row>
    <row r="32" spans="1:18" x14ac:dyDescent="0.25">
      <c r="A32" s="3"/>
      <c r="B32" s="10" t="s">
        <v>17</v>
      </c>
      <c r="C32" s="53">
        <f>[3]Лист1!$V$555</f>
        <v>384639</v>
      </c>
      <c r="D32" s="40"/>
      <c r="E32" s="7"/>
      <c r="F32" s="7"/>
      <c r="G32" s="7"/>
      <c r="H32" s="7"/>
      <c r="I32" s="7"/>
      <c r="J32" s="7"/>
      <c r="K32" s="47"/>
      <c r="L32" s="47"/>
      <c r="M32" s="40"/>
      <c r="N32" s="50"/>
      <c r="O32" s="11">
        <f>SUM(C32:N32)</f>
        <v>384639</v>
      </c>
      <c r="Q32" s="8"/>
      <c r="R32" s="8"/>
    </row>
    <row r="33" spans="1:19" x14ac:dyDescent="0.25">
      <c r="A33" s="3"/>
      <c r="B33" s="10" t="s">
        <v>18</v>
      </c>
      <c r="C33" s="53">
        <f>[3]Лист1!$V$556</f>
        <v>487575</v>
      </c>
      <c r="D33" s="40"/>
      <c r="E33" s="7"/>
      <c r="F33" s="7"/>
      <c r="G33" s="7"/>
      <c r="H33" s="7"/>
      <c r="I33" s="7"/>
      <c r="J33" s="7"/>
      <c r="K33" s="47"/>
      <c r="L33" s="47"/>
      <c r="M33" s="40"/>
      <c r="N33" s="50"/>
      <c r="O33" s="11">
        <f>SUM(C33:N33)</f>
        <v>487575</v>
      </c>
      <c r="Q33" s="8"/>
      <c r="R33" s="8"/>
    </row>
    <row r="34" spans="1:19" ht="63" x14ac:dyDescent="0.25">
      <c r="A34" s="3" t="s">
        <v>42</v>
      </c>
      <c r="B34" s="13" t="s">
        <v>31</v>
      </c>
      <c r="C34" s="40">
        <f t="shared" ref="C34" si="21">SUM(C35:C36)</f>
        <v>1309386</v>
      </c>
      <c r="D34" s="40"/>
      <c r="E34" s="7"/>
      <c r="F34" s="7"/>
      <c r="G34" s="7"/>
      <c r="H34" s="7"/>
      <c r="I34" s="7"/>
      <c r="J34" s="7"/>
      <c r="K34" s="47"/>
      <c r="L34" s="47"/>
      <c r="M34" s="47"/>
      <c r="N34" s="47"/>
      <c r="O34" s="11">
        <f>SUM(O35:O36)</f>
        <v>1309386</v>
      </c>
      <c r="Q34" s="8"/>
      <c r="R34" s="8"/>
    </row>
    <row r="35" spans="1:19" x14ac:dyDescent="0.25">
      <c r="A35" s="3"/>
      <c r="B35" s="10" t="s">
        <v>17</v>
      </c>
      <c r="C35" s="53">
        <f>[3]Лист1!$V$558</f>
        <v>673462</v>
      </c>
      <c r="D35" s="40"/>
      <c r="E35" s="7"/>
      <c r="F35" s="7"/>
      <c r="G35" s="7"/>
      <c r="H35" s="7"/>
      <c r="I35" s="7"/>
      <c r="J35" s="7"/>
      <c r="K35" s="47"/>
      <c r="L35" s="47"/>
      <c r="M35" s="40"/>
      <c r="N35" s="40"/>
      <c r="O35" s="11">
        <f>SUM(C35:N35)</f>
        <v>673462</v>
      </c>
      <c r="Q35" s="8"/>
      <c r="R35" s="8"/>
    </row>
    <row r="36" spans="1:19" x14ac:dyDescent="0.25">
      <c r="A36" s="3"/>
      <c r="B36" s="10" t="s">
        <v>18</v>
      </c>
      <c r="C36" s="53">
        <f>[3]Лист1!$V$559</f>
        <v>635924</v>
      </c>
      <c r="D36" s="40"/>
      <c r="E36" s="7"/>
      <c r="F36" s="7"/>
      <c r="G36" s="7"/>
      <c r="H36" s="7"/>
      <c r="I36" s="7"/>
      <c r="J36" s="7"/>
      <c r="K36" s="47"/>
      <c r="L36" s="47"/>
      <c r="M36" s="40"/>
      <c r="N36" s="40"/>
      <c r="O36" s="11">
        <f>SUM(C36:N36)</f>
        <v>635924</v>
      </c>
      <c r="Q36" s="8"/>
      <c r="R36" s="8"/>
    </row>
    <row r="37" spans="1:19" x14ac:dyDescent="0.25">
      <c r="A37" s="5" t="s">
        <v>32</v>
      </c>
      <c r="B37" s="10" t="s">
        <v>33</v>
      </c>
      <c r="C37" s="53">
        <f>[2]январь!$C$66+[2]январь!$C$69</f>
        <v>1798624.5655172358</v>
      </c>
      <c r="D37" s="40"/>
      <c r="E37" s="7"/>
      <c r="F37" s="7"/>
      <c r="G37" s="7"/>
      <c r="H37" s="7"/>
      <c r="I37" s="7"/>
      <c r="J37" s="7"/>
      <c r="K37" s="47"/>
      <c r="L37" s="47"/>
      <c r="M37" s="40"/>
      <c r="N37" s="50"/>
      <c r="O37" s="11">
        <f>SUM(C37:N37)</f>
        <v>1798624.5655172358</v>
      </c>
    </row>
    <row r="38" spans="1:19" ht="31.5" x14ac:dyDescent="0.25">
      <c r="A38" s="5"/>
      <c r="B38" s="6" t="s">
        <v>34</v>
      </c>
      <c r="C38" s="40">
        <f t="shared" ref="C38" si="22">C6-C19</f>
        <v>269036.43448275886</v>
      </c>
      <c r="D38" s="40"/>
      <c r="E38" s="7"/>
      <c r="F38" s="7"/>
      <c r="G38" s="7"/>
      <c r="H38" s="7"/>
      <c r="I38" s="7"/>
      <c r="J38" s="7"/>
      <c r="K38" s="47"/>
      <c r="L38" s="47"/>
      <c r="M38" s="47"/>
      <c r="N38" s="47"/>
      <c r="O38" s="7">
        <f>O6-O19</f>
        <v>192413.43448275886</v>
      </c>
      <c r="Q38" s="8"/>
      <c r="R38" s="8"/>
      <c r="S38" s="8"/>
    </row>
    <row r="39" spans="1:19" x14ac:dyDescent="0.25">
      <c r="A39" s="14"/>
      <c r="B39" s="15" t="s">
        <v>35</v>
      </c>
      <c r="C39" s="41">
        <f t="shared" ref="C39" si="23">C38/C5</f>
        <v>4.8343973164419331E-2</v>
      </c>
      <c r="D39" s="41"/>
      <c r="E39" s="37"/>
      <c r="F39" s="37"/>
      <c r="G39" s="37"/>
      <c r="H39" s="37"/>
      <c r="I39" s="37"/>
      <c r="J39" s="37"/>
      <c r="K39" s="48"/>
      <c r="L39" s="48"/>
      <c r="M39" s="48"/>
      <c r="N39" s="48"/>
      <c r="O39" s="16"/>
    </row>
    <row r="40" spans="1:19" x14ac:dyDescent="0.25">
      <c r="A40" s="17"/>
      <c r="B40" s="18"/>
      <c r="C40" s="54"/>
      <c r="D40" s="19"/>
      <c r="E40" s="19"/>
      <c r="F40" s="19"/>
      <c r="G40" s="19"/>
    </row>
    <row r="41" spans="1:19" x14ac:dyDescent="0.25">
      <c r="C41" s="8"/>
      <c r="D41" s="8"/>
      <c r="E41" s="8"/>
      <c r="G41" s="8"/>
    </row>
    <row r="42" spans="1:19" x14ac:dyDescent="0.25">
      <c r="D42" s="8"/>
      <c r="E42" s="8"/>
    </row>
    <row r="43" spans="1:19" x14ac:dyDescent="0.25">
      <c r="C43" s="8"/>
      <c r="M43" s="8"/>
    </row>
  </sheetData>
  <pageMargins left="0" right="0" top="0.35433070866141736" bottom="0.15748031496062992" header="0" footer="0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кор авг-дек от дек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2021-02-20T02:20:31Z</cp:lastPrinted>
  <dcterms:created xsi:type="dcterms:W3CDTF">2014-06-20T07:55:12Z</dcterms:created>
  <dcterms:modified xsi:type="dcterms:W3CDTF">2021-02-24T06:29:27Z</dcterms:modified>
</cp:coreProperties>
</file>